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11955" tabRatio="914" activeTab="9"/>
  </bookViews>
  <sheets>
    <sheet name="январь" sheetId="13" r:id="rId1"/>
    <sheet name="январь-февраль" sheetId="14" r:id="rId2"/>
    <sheet name="январь-март" sheetId="15" r:id="rId3"/>
    <sheet name="январь-апрель" sheetId="16" r:id="rId4"/>
    <sheet name="январь-май" sheetId="17" r:id="rId5"/>
    <sheet name="январь-июнь" sheetId="18" r:id="rId6"/>
    <sheet name="январь-июль" sheetId="19" r:id="rId7"/>
    <sheet name="январь-август" sheetId="20" r:id="rId8"/>
    <sheet name="январь-сентябрь" sheetId="21" r:id="rId9"/>
    <sheet name="январь-октябрь" sheetId="22" r:id="rId10"/>
  </sheets>
  <definedNames>
    <definedName name="_xlnm.Print_Titles" localSheetId="0">январь!$2:$3</definedName>
    <definedName name="_xlnm.Print_Titles" localSheetId="7">'январь-август'!$2:$3</definedName>
    <definedName name="_xlnm.Print_Titles" localSheetId="3">'январь-апрель'!$2:$3</definedName>
    <definedName name="_xlnm.Print_Titles" localSheetId="6">'январь-июль'!$2:$3</definedName>
    <definedName name="_xlnm.Print_Titles" localSheetId="5">'январь-июнь'!$2:$3</definedName>
    <definedName name="_xlnm.Print_Titles" localSheetId="2">'январь-март'!$1:$3</definedName>
    <definedName name="_xlnm.Print_Titles" localSheetId="9">'январь-октябрь'!$2:$3</definedName>
    <definedName name="_xlnm.Print_Titles" localSheetId="8">'январь-сентябрь'!$2:$3</definedName>
    <definedName name="_xlnm.Print_Titles" localSheetId="1">'январь-февраль'!$2:$3</definedName>
  </definedNames>
  <calcPr calcId="144525"/>
</workbook>
</file>

<file path=xl/calcChain.xml><?xml version="1.0" encoding="utf-8"?>
<calcChain xmlns="http://schemas.openxmlformats.org/spreadsheetml/2006/main">
  <c r="C44" i="22" l="1"/>
  <c r="C53" i="22"/>
  <c r="C27" i="22"/>
  <c r="C28" i="22"/>
  <c r="G28" i="22" s="1"/>
  <c r="C26" i="22"/>
  <c r="C31" i="22"/>
  <c r="C24" i="22"/>
  <c r="G24" i="22" s="1"/>
  <c r="C25" i="22"/>
  <c r="G25" i="22" s="1"/>
  <c r="C23" i="22"/>
  <c r="C30" i="22"/>
  <c r="C29" i="22"/>
  <c r="C22" i="22"/>
  <c r="G22" i="22" s="1"/>
  <c r="F53" i="22"/>
  <c r="G53" i="22"/>
  <c r="G50" i="22"/>
  <c r="F50" i="22"/>
  <c r="G47" i="22"/>
  <c r="F47" i="22"/>
  <c r="F44" i="22"/>
  <c r="G41" i="22"/>
  <c r="F41" i="22"/>
  <c r="G38" i="22"/>
  <c r="F38" i="22"/>
  <c r="G35" i="22"/>
  <c r="F35" i="22"/>
  <c r="F31" i="22"/>
  <c r="G31" i="22"/>
  <c r="F30" i="22"/>
  <c r="G30" i="22"/>
  <c r="F29" i="22"/>
  <c r="G29" i="22"/>
  <c r="F28" i="22"/>
  <c r="F27" i="22"/>
  <c r="G27" i="22"/>
  <c r="F26" i="22"/>
  <c r="G26" i="22"/>
  <c r="F25" i="22"/>
  <c r="F24" i="22"/>
  <c r="F23" i="22"/>
  <c r="G23" i="22"/>
  <c r="F22" i="22"/>
  <c r="F14" i="22"/>
  <c r="D7" i="22"/>
  <c r="B7" i="22"/>
  <c r="G14" i="21"/>
  <c r="C14" i="21"/>
  <c r="C44" i="21"/>
  <c r="C27" i="21"/>
  <c r="C28" i="21"/>
  <c r="C26" i="21"/>
  <c r="C31" i="21"/>
  <c r="G31" i="21" s="1"/>
  <c r="C24" i="21"/>
  <c r="C25" i="21"/>
  <c r="C23" i="21"/>
  <c r="G23" i="21" s="1"/>
  <c r="C30" i="21"/>
  <c r="G30" i="21" s="1"/>
  <c r="C29" i="21"/>
  <c r="C22" i="21"/>
  <c r="C53" i="21"/>
  <c r="G53" i="21" s="1"/>
  <c r="F53" i="21"/>
  <c r="G50" i="21"/>
  <c r="F50" i="21"/>
  <c r="G47" i="21"/>
  <c r="F47" i="21"/>
  <c r="F44" i="21"/>
  <c r="G41" i="21"/>
  <c r="F41" i="21"/>
  <c r="G38" i="21"/>
  <c r="F38" i="21"/>
  <c r="G35" i="21"/>
  <c r="F35" i="21"/>
  <c r="F31" i="21"/>
  <c r="F30" i="21"/>
  <c r="F29" i="21"/>
  <c r="G29" i="21"/>
  <c r="F28" i="21"/>
  <c r="G28" i="21"/>
  <c r="F27" i="21"/>
  <c r="G27" i="21"/>
  <c r="F26" i="21"/>
  <c r="G26" i="21"/>
  <c r="F25" i="21"/>
  <c r="G25" i="21"/>
  <c r="F24" i="21"/>
  <c r="G24" i="21"/>
  <c r="F23" i="21"/>
  <c r="F22" i="21"/>
  <c r="G22" i="21"/>
  <c r="F14" i="21"/>
  <c r="D7" i="21"/>
  <c r="B7" i="21"/>
  <c r="C53" i="20"/>
  <c r="G53" i="20" s="1"/>
  <c r="C44" i="20"/>
  <c r="C27" i="20"/>
  <c r="C28" i="20"/>
  <c r="G28" i="20" s="1"/>
  <c r="C26" i="20"/>
  <c r="G26" i="20" s="1"/>
  <c r="C31" i="20"/>
  <c r="C24" i="20"/>
  <c r="C25" i="20"/>
  <c r="C23" i="20"/>
  <c r="C30" i="20"/>
  <c r="G30" i="20" s="1"/>
  <c r="C29" i="20"/>
  <c r="C22" i="20"/>
  <c r="F53" i="20"/>
  <c r="G50" i="20"/>
  <c r="F50" i="20"/>
  <c r="G47" i="20"/>
  <c r="F47" i="20"/>
  <c r="F44" i="20"/>
  <c r="F41" i="20"/>
  <c r="G41" i="20"/>
  <c r="G38" i="20"/>
  <c r="F38" i="20"/>
  <c r="G35" i="20"/>
  <c r="F35" i="20"/>
  <c r="F31" i="20"/>
  <c r="G31" i="20"/>
  <c r="F30" i="20"/>
  <c r="F29" i="20"/>
  <c r="G29" i="20"/>
  <c r="F28" i="20"/>
  <c r="F27" i="20"/>
  <c r="G27" i="20"/>
  <c r="F26" i="20"/>
  <c r="F25" i="20"/>
  <c r="G25" i="20"/>
  <c r="F24" i="20"/>
  <c r="G24" i="20"/>
  <c r="F23" i="20"/>
  <c r="G23" i="20"/>
  <c r="F22" i="20"/>
  <c r="G22" i="20"/>
  <c r="F14" i="20"/>
  <c r="D7" i="20"/>
  <c r="B7" i="20"/>
  <c r="D7" i="19"/>
  <c r="B7" i="19"/>
  <c r="G12" i="18"/>
  <c r="F12" i="18"/>
  <c r="C12" i="18"/>
  <c r="F14" i="19"/>
  <c r="C53" i="19"/>
  <c r="G53" i="19" s="1"/>
  <c r="C41" i="19"/>
  <c r="C25" i="19"/>
  <c r="C27" i="19"/>
  <c r="G27" i="19" s="1"/>
  <c r="C28" i="19"/>
  <c r="C26" i="19"/>
  <c r="C31" i="19"/>
  <c r="C24" i="19"/>
  <c r="C23" i="19"/>
  <c r="G23" i="19" s="1"/>
  <c r="C29" i="19"/>
  <c r="C30" i="19"/>
  <c r="G30" i="19" s="1"/>
  <c r="C22" i="19"/>
  <c r="C44" i="19"/>
  <c r="G44" i="19" s="1"/>
  <c r="F53" i="19"/>
  <c r="G50" i="19"/>
  <c r="F50" i="19"/>
  <c r="G47" i="19"/>
  <c r="F47" i="19"/>
  <c r="F44" i="19"/>
  <c r="F41" i="19"/>
  <c r="G41" i="19"/>
  <c r="G38" i="19"/>
  <c r="F38" i="19"/>
  <c r="G35" i="19"/>
  <c r="F35" i="19"/>
  <c r="F31" i="19"/>
  <c r="G31" i="19"/>
  <c r="F30" i="19"/>
  <c r="F29" i="19"/>
  <c r="G29" i="19"/>
  <c r="F28" i="19"/>
  <c r="G28" i="19"/>
  <c r="F27" i="19"/>
  <c r="F26" i="19"/>
  <c r="G26" i="19"/>
  <c r="F25" i="19"/>
  <c r="G25" i="19"/>
  <c r="F24" i="19"/>
  <c r="G24" i="19"/>
  <c r="F23" i="19"/>
  <c r="F22" i="19"/>
  <c r="G22" i="19"/>
  <c r="C42" i="18"/>
  <c r="G33" i="18"/>
  <c r="C51" i="18"/>
  <c r="G51" i="18" s="1"/>
  <c r="C39" i="18"/>
  <c r="G39" i="18" s="1"/>
  <c r="C25" i="18"/>
  <c r="C26" i="18"/>
  <c r="C24" i="18"/>
  <c r="G24" i="18" s="1"/>
  <c r="C29" i="18"/>
  <c r="G29" i="18" s="1"/>
  <c r="C22" i="18"/>
  <c r="C23" i="18"/>
  <c r="C21" i="18"/>
  <c r="C28" i="18"/>
  <c r="G28" i="18" s="1"/>
  <c r="C27" i="18"/>
  <c r="C20" i="18"/>
  <c r="F51" i="18"/>
  <c r="G48" i="18"/>
  <c r="F48" i="18"/>
  <c r="G45" i="18"/>
  <c r="F45" i="18"/>
  <c r="F42" i="18"/>
  <c r="F39" i="18"/>
  <c r="G36" i="18"/>
  <c r="F36" i="18"/>
  <c r="F33" i="18"/>
  <c r="F29" i="18"/>
  <c r="F28" i="18"/>
  <c r="F27" i="18"/>
  <c r="G27" i="18"/>
  <c r="F26" i="18"/>
  <c r="G26" i="18"/>
  <c r="F25" i="18"/>
  <c r="G25" i="18"/>
  <c r="F24" i="18"/>
  <c r="F23" i="18"/>
  <c r="G23" i="18"/>
  <c r="F22" i="18"/>
  <c r="G22" i="18"/>
  <c r="F21" i="18"/>
  <c r="G21" i="18"/>
  <c r="F20" i="18"/>
  <c r="G20" i="18"/>
  <c r="G4" i="18"/>
  <c r="C12" i="17"/>
  <c r="F12" i="17" s="1"/>
  <c r="C39" i="17"/>
  <c r="C25" i="17"/>
  <c r="C26" i="17"/>
  <c r="C24" i="17"/>
  <c r="G24" i="17" s="1"/>
  <c r="C29" i="17"/>
  <c r="G29" i="17" s="1"/>
  <c r="C22" i="17"/>
  <c r="C23" i="17"/>
  <c r="C21" i="17"/>
  <c r="C28" i="17"/>
  <c r="G28" i="17" s="1"/>
  <c r="C27" i="17"/>
  <c r="C20" i="17"/>
  <c r="C42" i="17"/>
  <c r="C51" i="17"/>
  <c r="G51" i="17" s="1"/>
  <c r="F51" i="17"/>
  <c r="G48" i="17"/>
  <c r="F48" i="17"/>
  <c r="G45" i="17"/>
  <c r="F45" i="17"/>
  <c r="F42" i="17"/>
  <c r="G39" i="17"/>
  <c r="F39" i="17"/>
  <c r="G36" i="17"/>
  <c r="F36" i="17"/>
  <c r="G33" i="17"/>
  <c r="F33" i="17"/>
  <c r="F29" i="17"/>
  <c r="F28" i="17"/>
  <c r="F27" i="17"/>
  <c r="G27" i="17"/>
  <c r="F26" i="17"/>
  <c r="G26" i="17"/>
  <c r="F25" i="17"/>
  <c r="G25" i="17"/>
  <c r="F24" i="17"/>
  <c r="F23" i="17"/>
  <c r="G23" i="17"/>
  <c r="F22" i="17"/>
  <c r="G22" i="17"/>
  <c r="F21" i="17"/>
  <c r="G21" i="17"/>
  <c r="F20" i="17"/>
  <c r="G20" i="17"/>
  <c r="G4" i="17"/>
  <c r="G4" i="16"/>
  <c r="C25" i="16"/>
  <c r="G25" i="16" s="1"/>
  <c r="C26" i="16"/>
  <c r="C24" i="16"/>
  <c r="C29" i="16"/>
  <c r="G29" i="16" s="1"/>
  <c r="C22" i="16"/>
  <c r="C23" i="16"/>
  <c r="C21" i="16"/>
  <c r="C28" i="16"/>
  <c r="C27" i="16"/>
  <c r="G27" i="16" s="1"/>
  <c r="C20" i="16"/>
  <c r="C42" i="16"/>
  <c r="C12" i="16"/>
  <c r="F12" i="16" s="1"/>
  <c r="F51" i="16"/>
  <c r="G51" i="16"/>
  <c r="G48" i="16"/>
  <c r="F48" i="16"/>
  <c r="G45" i="16"/>
  <c r="F45" i="16"/>
  <c r="F42" i="16"/>
  <c r="G39" i="16"/>
  <c r="F39" i="16"/>
  <c r="G36" i="16"/>
  <c r="F36" i="16"/>
  <c r="G33" i="16"/>
  <c r="F33" i="16"/>
  <c r="F29" i="16"/>
  <c r="F28" i="16"/>
  <c r="G28" i="16"/>
  <c r="F27" i="16"/>
  <c r="F26" i="16"/>
  <c r="G26" i="16"/>
  <c r="F25" i="16"/>
  <c r="G24" i="16"/>
  <c r="F24" i="16"/>
  <c r="F23" i="16"/>
  <c r="G23" i="16"/>
  <c r="F22" i="16"/>
  <c r="G22" i="16"/>
  <c r="F21" i="16"/>
  <c r="G21" i="16"/>
  <c r="F20" i="16"/>
  <c r="G20" i="16"/>
  <c r="F12" i="15"/>
  <c r="C12" i="15"/>
  <c r="G21" i="15"/>
  <c r="G24" i="15"/>
  <c r="G26" i="15"/>
  <c r="G29" i="15"/>
  <c r="G12" i="15"/>
  <c r="C51" i="15"/>
  <c r="C42" i="15"/>
  <c r="C25" i="15"/>
  <c r="G25" i="15" s="1"/>
  <c r="C26" i="15"/>
  <c r="C29" i="15"/>
  <c r="C23" i="15"/>
  <c r="G23" i="15" s="1"/>
  <c r="C22" i="15"/>
  <c r="G22" i="15" s="1"/>
  <c r="C21" i="15"/>
  <c r="C28" i="15"/>
  <c r="G28" i="15" s="1"/>
  <c r="C27" i="15"/>
  <c r="G27" i="15" s="1"/>
  <c r="C20" i="15"/>
  <c r="G20" i="15" s="1"/>
  <c r="F51" i="15"/>
  <c r="G51" i="15"/>
  <c r="G48" i="15"/>
  <c r="F48" i="15"/>
  <c r="G45" i="15"/>
  <c r="F45" i="15"/>
  <c r="F42" i="15"/>
  <c r="F39" i="15"/>
  <c r="G39" i="15"/>
  <c r="F36" i="15"/>
  <c r="G36" i="15"/>
  <c r="G33" i="15"/>
  <c r="F33" i="15"/>
  <c r="F29" i="15"/>
  <c r="F28" i="15"/>
  <c r="F27" i="15"/>
  <c r="F26" i="15"/>
  <c r="F25" i="15"/>
  <c r="F24" i="15"/>
  <c r="F23" i="15"/>
  <c r="F22" i="15"/>
  <c r="F21" i="15"/>
  <c r="F20" i="15"/>
  <c r="G12" i="14"/>
  <c r="C12" i="14"/>
  <c r="G21" i="14"/>
  <c r="G22" i="14"/>
  <c r="G25" i="14"/>
  <c r="G26" i="14"/>
  <c r="G29" i="14"/>
  <c r="G33" i="14"/>
  <c r="G45" i="14"/>
  <c r="G48" i="14"/>
  <c r="G51" i="14"/>
  <c r="C51" i="14"/>
  <c r="C42" i="14"/>
  <c r="C39" i="14"/>
  <c r="G39" i="14" s="1"/>
  <c r="C36" i="14"/>
  <c r="G36" i="14" s="1"/>
  <c r="C29" i="14"/>
  <c r="C28" i="14"/>
  <c r="G28" i="14" s="1"/>
  <c r="C27" i="14"/>
  <c r="G27" i="14" s="1"/>
  <c r="C26" i="14"/>
  <c r="C25" i="14"/>
  <c r="C24" i="14"/>
  <c r="G24" i="14" s="1"/>
  <c r="C23" i="14"/>
  <c r="G23" i="14" s="1"/>
  <c r="C22" i="14"/>
  <c r="C21" i="14"/>
  <c r="C20" i="14"/>
  <c r="G20" i="14" s="1"/>
  <c r="F62" i="14"/>
  <c r="F59" i="14"/>
  <c r="F56" i="14"/>
  <c r="F51" i="14"/>
  <c r="F48" i="14"/>
  <c r="F45" i="14"/>
  <c r="F42" i="14"/>
  <c r="F39" i="14"/>
  <c r="F36" i="14"/>
  <c r="F33" i="14"/>
  <c r="F29" i="14"/>
  <c r="F28" i="14"/>
  <c r="F27" i="14"/>
  <c r="F26" i="14"/>
  <c r="F25" i="14"/>
  <c r="F24" i="14"/>
  <c r="F23" i="14"/>
  <c r="F22" i="14"/>
  <c r="F21" i="14"/>
  <c r="F20" i="14"/>
  <c r="F12" i="14"/>
  <c r="F59" i="13"/>
  <c r="F56" i="13"/>
  <c r="G12" i="13"/>
  <c r="F12" i="13"/>
  <c r="F21" i="13"/>
  <c r="F22" i="13"/>
  <c r="F23" i="13"/>
  <c r="F24" i="13"/>
  <c r="F25" i="13"/>
  <c r="F26" i="13"/>
  <c r="F27" i="13"/>
  <c r="F28" i="13"/>
  <c r="F29" i="13"/>
  <c r="F20" i="13"/>
  <c r="G21" i="13"/>
  <c r="G22" i="13"/>
  <c r="G23" i="13"/>
  <c r="G24" i="13"/>
  <c r="G25" i="13"/>
  <c r="G26" i="13"/>
  <c r="G27" i="13"/>
  <c r="G28" i="13"/>
  <c r="G29" i="13"/>
  <c r="G20" i="13"/>
  <c r="C45" i="13"/>
  <c r="F42" i="13"/>
  <c r="F33" i="13"/>
  <c r="F36" i="13"/>
  <c r="F39" i="13"/>
  <c r="F45" i="13"/>
  <c r="F48" i="13"/>
  <c r="F51" i="13"/>
  <c r="F62" i="13"/>
  <c r="G12" i="17" l="1"/>
  <c r="G12" i="16"/>
</calcChain>
</file>

<file path=xl/sharedStrings.xml><?xml version="1.0" encoding="utf-8"?>
<sst xmlns="http://schemas.openxmlformats.org/spreadsheetml/2006/main" count="670" uniqueCount="146">
  <si>
    <t>Показатели</t>
  </si>
  <si>
    <t xml:space="preserve">Российская Федерация </t>
  </si>
  <si>
    <t>в  сопоставимых ценах, в  %  к  предыдущему  году</t>
  </si>
  <si>
    <t>в % к предыдущему году</t>
  </si>
  <si>
    <t>16. Денежные доходы на душу населения, руб.</t>
  </si>
  <si>
    <t>14. Реальная начисленная заработная плата, в  %  к  предыдущему  году</t>
  </si>
  <si>
    <t>Нефть, млн.т.</t>
  </si>
  <si>
    <t>Бензин автомобильный, тыс.т.</t>
  </si>
  <si>
    <t>Каучуки синтетические, тыс.т.</t>
  </si>
  <si>
    <t>Полиэтилен, тыс.т.</t>
  </si>
  <si>
    <t>Автомобили грузовые, тыс.шт.</t>
  </si>
  <si>
    <t>Автомобили легковые, тыс.шт.</t>
  </si>
  <si>
    <t>Синтетические моющие средства, тыс.т.</t>
  </si>
  <si>
    <t>10. Объем  инвестиций    (в  основной капитал ) по территории за счет  всех  источников финансирования, млрд.руб.</t>
  </si>
  <si>
    <t>11. Ввод в эксплуатацию жилых домов за счет всех источников финансирования, тыс. кв. м</t>
  </si>
  <si>
    <t>12. Оборот розничной  торговли, в  действующих  ценах  каждого  года, млрд.руб.</t>
  </si>
  <si>
    <t>13.  Объем  платных  услуг  населению, в  действующих  ценах  каждого  года, млрд.руб.</t>
  </si>
  <si>
    <t>15.  Среднемесячная  заработная плата, в  среднем  за  год, руб.</t>
  </si>
  <si>
    <t>Картон, тыс.т.</t>
  </si>
  <si>
    <t>Бумага, тыс.т.</t>
  </si>
  <si>
    <t>1. Валовой внутренний продукт (ВВП) / Валовой  региональный  продукт  (ВРП) в основных ценах, млрд.руб.</t>
  </si>
  <si>
    <t>Основные показатели социально-экономического развития Российской Федерации</t>
  </si>
  <si>
    <t xml:space="preserve">Республика Татарстан </t>
  </si>
  <si>
    <t>продовольственные товары</t>
  </si>
  <si>
    <t>непродовольственные товары</t>
  </si>
  <si>
    <t>услуги</t>
  </si>
  <si>
    <t>по виду деятельности "Добыча полезных ископаемых"</t>
  </si>
  <si>
    <t>по виду деятельности "Обрабатывающие производства"</t>
  </si>
  <si>
    <t>по виду деятельности "Производство и распределение электроэнергии, газа и воды"</t>
  </si>
  <si>
    <t xml:space="preserve">Удельный вес РТ в РФ </t>
  </si>
  <si>
    <t>2. Индекс потребительских цен, в % к декабрю предыдущего года</t>
  </si>
  <si>
    <t>3. Объем отгруженных товаров собственного производства, выполненных работ и услуг собственными силами, млрд.руб.</t>
  </si>
  <si>
    <t>4. Индекс промышленного производства, в %  к  предыдущему  году</t>
  </si>
  <si>
    <t xml:space="preserve"> 2009 год </t>
  </si>
  <si>
    <t>5. Производство важнейших видов промышленной продукции:</t>
  </si>
  <si>
    <t>6. Индекс цен производителей промышленных товаров, в % к декабрю предыдущего года</t>
  </si>
  <si>
    <t>7. Объем продукции сельского хозяйства всех сельхозпроизводителей, млрд.руб.</t>
  </si>
  <si>
    <t>8. Объем работ, выполненных по виду деятельности "Строительство", млрд.руб.</t>
  </si>
  <si>
    <t>9. Динамика грузооборота автотранспорта, млрд.т-км</t>
  </si>
  <si>
    <t>17. Уровень безработицы (отношение числа безработных к численности экономически активного населения), %</t>
  </si>
  <si>
    <t>Шины, млн.шт.</t>
  </si>
  <si>
    <t>7539,9*</t>
  </si>
  <si>
    <t>* оценка</t>
  </si>
  <si>
    <t>39016,1*</t>
  </si>
  <si>
    <t>92,1*</t>
  </si>
  <si>
    <t xml:space="preserve">январь       2010 года </t>
  </si>
  <si>
    <t>105,2**</t>
  </si>
  <si>
    <t>** оценка Минэкономразвития</t>
  </si>
  <si>
    <t xml:space="preserve">январь - февраль      2010 года </t>
  </si>
  <si>
    <t>Полимеры этилена в первичных формах, тыс.т.</t>
  </si>
  <si>
    <t>* январь 2010 года</t>
  </si>
  <si>
    <t>72,7*</t>
  </si>
  <si>
    <t>110,9*</t>
  </si>
  <si>
    <t>15477,7*</t>
  </si>
  <si>
    <t>111,0*</t>
  </si>
  <si>
    <t>102,7*</t>
  </si>
  <si>
    <t>92,1***</t>
  </si>
  <si>
    <t>*** оценка</t>
  </si>
  <si>
    <t>10. Объем  инвестиций    (в  основной капитал) по территории за счет  всех  источников финансирования, млрд.руб.</t>
  </si>
  <si>
    <t>104,5**</t>
  </si>
  <si>
    <t>39063,6***</t>
  </si>
  <si>
    <t xml:space="preserve">январь - март      2010 года </t>
  </si>
  <si>
    <t xml:space="preserve">январь - март    2010 года </t>
  </si>
  <si>
    <t>103,0***</t>
  </si>
  <si>
    <t>15105,0***</t>
  </si>
  <si>
    <t>110,9***</t>
  </si>
  <si>
    <t>39063,6*</t>
  </si>
  <si>
    <t>** январь-февраль 2010 года, в % к январю-февралю 2009 года оценка Минэкономразвития РФ</t>
  </si>
  <si>
    <t>142,1***</t>
  </si>
  <si>
    <t>107,0***</t>
  </si>
  <si>
    <t>*** январь-февраль 2010 года</t>
  </si>
  <si>
    <t xml:space="preserve">январь - апрель     2010 года </t>
  </si>
  <si>
    <t xml:space="preserve">январь - апрель      2010 года </t>
  </si>
  <si>
    <t xml:space="preserve">январь - апрель    2010 года </t>
  </si>
  <si>
    <t>** I квартал 2010 года</t>
  </si>
  <si>
    <t>48,4**</t>
  </si>
  <si>
    <t>100,1**</t>
  </si>
  <si>
    <t>210,7**</t>
  </si>
  <si>
    <t>106,5**</t>
  </si>
  <si>
    <t>9862,0**</t>
  </si>
  <si>
    <t>102,9**</t>
  </si>
  <si>
    <t xml:space="preserve">январь - май     2010 года </t>
  </si>
  <si>
    <t xml:space="preserve">январь - май      2010 года </t>
  </si>
  <si>
    <t xml:space="preserve">январь - май    2010 года </t>
  </si>
  <si>
    <t>** январь-апрель 2010 года</t>
  </si>
  <si>
    <t>100,1***</t>
  </si>
  <si>
    <t>48,4***</t>
  </si>
  <si>
    <t>291,9**</t>
  </si>
  <si>
    <t>106,2**</t>
  </si>
  <si>
    <t>*** I квартал 2010 года</t>
  </si>
  <si>
    <t xml:space="preserve">январь - июнь     2010 года </t>
  </si>
  <si>
    <t xml:space="preserve">январь - июнь    2010 года </t>
  </si>
  <si>
    <t>385,3**</t>
  </si>
  <si>
    <t>** январь-май 2010 года</t>
  </si>
  <si>
    <t>106,6**</t>
  </si>
  <si>
    <t>16064,7**</t>
  </si>
  <si>
    <t>113,7**</t>
  </si>
  <si>
    <t xml:space="preserve">январь - июль     2010 года </t>
  </si>
  <si>
    <t xml:space="preserve">январь - июль    2010 года </t>
  </si>
  <si>
    <t>** январь-июнь 2010 года</t>
  </si>
  <si>
    <t>475,8**</t>
  </si>
  <si>
    <t>106,3**</t>
  </si>
  <si>
    <t>109,9*</t>
  </si>
  <si>
    <t>100,9*</t>
  </si>
  <si>
    <t>107,3**</t>
  </si>
  <si>
    <t>16416,3**</t>
  </si>
  <si>
    <t>114,3**</t>
  </si>
  <si>
    <t>Производительность труда, тыс. руб. на 1 занятого в экономике</t>
  </si>
  <si>
    <t>256,4**</t>
  </si>
  <si>
    <t>12089,6**</t>
  </si>
  <si>
    <t>4,0**</t>
  </si>
  <si>
    <t>104,0**</t>
  </si>
  <si>
    <t>20732,6**</t>
  </si>
  <si>
    <t>292,0**</t>
  </si>
  <si>
    <t>** январь-июль 2010 года</t>
  </si>
  <si>
    <t>*** I полугодие 2010 года</t>
  </si>
  <si>
    <t>20732,7***</t>
  </si>
  <si>
    <t>292,0***</t>
  </si>
  <si>
    <t>109,9***</t>
  </si>
  <si>
    <t>100,9***</t>
  </si>
  <si>
    <t>104,9**</t>
  </si>
  <si>
    <t>20318,0**</t>
  </si>
  <si>
    <t>111,6**</t>
  </si>
  <si>
    <t>107,9**</t>
  </si>
  <si>
    <t>16613,3**</t>
  </si>
  <si>
    <t>114,6**</t>
  </si>
  <si>
    <t xml:space="preserve">январь - август     2010 года </t>
  </si>
  <si>
    <t xml:space="preserve">январь - август    2010 года </t>
  </si>
  <si>
    <t>571,7**</t>
  </si>
  <si>
    <t>106,0**</t>
  </si>
  <si>
    <t>308,0**</t>
  </si>
  <si>
    <t xml:space="preserve">январь - сентябрь   2010 года </t>
  </si>
  <si>
    <t>665,3**</t>
  </si>
  <si>
    <t>105,4**</t>
  </si>
  <si>
    <t>** январь-август 2010 года</t>
  </si>
  <si>
    <t xml:space="preserve">январь - октябрь   2010 года </t>
  </si>
  <si>
    <t xml:space="preserve">январь - октябрь  2010 года </t>
  </si>
  <si>
    <t>103,4**</t>
  </si>
  <si>
    <t>** январь-сентябрь 2010 года</t>
  </si>
  <si>
    <t>756,4**</t>
  </si>
  <si>
    <t>104,2**</t>
  </si>
  <si>
    <t>188,3**</t>
  </si>
  <si>
    <t>100,9**</t>
  </si>
  <si>
    <t>108,0**</t>
  </si>
  <si>
    <t>16787,3**</t>
  </si>
  <si>
    <t>114,7**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</si>
</sst>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b/>
      <sz val="20"/>
      <color theme="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b/>
      <sz val="16"/>
      <name val="Bookman Old Style"/>
      <family val="1"/>
      <charset val="204"/>
    </font>
    <font>
      <sz val="16"/>
      <name val="Bookman Old Style"/>
      <family val="1"/>
      <charset val="204"/>
    </font>
    <font>
      <i/>
      <sz val="16"/>
      <name val="Bookman Old Style"/>
      <family val="1"/>
      <charset val="204"/>
    </font>
    <font>
      <sz val="8"/>
      <color theme="1"/>
      <name val="Bookman Old Style"/>
      <family val="1"/>
      <charset val="204"/>
    </font>
    <font>
      <sz val="9"/>
      <color theme="1"/>
      <name val="Bookman Old Style"/>
      <family val="1"/>
      <charset val="204"/>
    </font>
    <font>
      <sz val="14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18"/>
      <color theme="1"/>
      <name val="Bookman Old Style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rgb="FF006666"/>
      </top>
      <bottom/>
      <diagonal/>
    </border>
    <border>
      <left/>
      <right/>
      <top/>
      <bottom style="thick">
        <color rgb="FF006666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rgb="FF006666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4" fillId="0" borderId="0" xfId="0" applyFont="1" applyFill="1" applyBorder="1"/>
    <xf numFmtId="49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NumberFormat="1" applyFont="1" applyFill="1" applyBorder="1" applyAlignment="1" applyProtection="1">
      <alignment horizontal="left" wrapText="1"/>
    </xf>
    <xf numFmtId="164" fontId="6" fillId="0" borderId="0" xfId="1" applyNumberFormat="1" applyFont="1" applyFill="1" applyBorder="1" applyAlignment="1" applyProtection="1">
      <alignment horizontal="right" wrapText="1"/>
    </xf>
    <xf numFmtId="164" fontId="7" fillId="0" borderId="0" xfId="1" applyNumberFormat="1" applyFont="1" applyFill="1" applyBorder="1" applyAlignment="1" applyProtection="1">
      <alignment horizontal="right" wrapText="1"/>
    </xf>
    <xf numFmtId="0" fontId="6" fillId="0" borderId="3" xfId="1" applyNumberFormat="1" applyFont="1" applyFill="1" applyBorder="1" applyAlignment="1" applyProtection="1">
      <alignment horizontal="left" wrapText="1" indent="5"/>
    </xf>
    <xf numFmtId="164" fontId="6" fillId="0" borderId="3" xfId="1" applyNumberFormat="1" applyFont="1" applyFill="1" applyBorder="1" applyAlignment="1" applyProtection="1">
      <alignment horizontal="right" wrapText="1"/>
    </xf>
    <xf numFmtId="164" fontId="7" fillId="0" borderId="3" xfId="1" applyNumberFormat="1" applyFont="1" applyFill="1" applyBorder="1" applyAlignment="1" applyProtection="1">
      <alignment horizontal="right" wrapText="1"/>
    </xf>
    <xf numFmtId="0" fontId="6" fillId="0" borderId="3" xfId="1" applyNumberFormat="1" applyFont="1" applyFill="1" applyBorder="1" applyAlignment="1" applyProtection="1">
      <alignment horizontal="left" wrapText="1" indent="2"/>
    </xf>
    <xf numFmtId="0" fontId="6" fillId="0" borderId="3" xfId="1" applyNumberFormat="1" applyFont="1" applyFill="1" applyBorder="1" applyAlignment="1" applyProtection="1">
      <alignment vertical="center" wrapText="1"/>
    </xf>
    <xf numFmtId="0" fontId="6" fillId="0" borderId="3" xfId="1" applyNumberFormat="1" applyFont="1" applyFill="1" applyBorder="1" applyAlignment="1" applyProtection="1">
      <alignment horizontal="left" vertical="center" wrapText="1" indent="5"/>
    </xf>
    <xf numFmtId="0" fontId="6" fillId="0" borderId="3" xfId="1" applyFont="1" applyFill="1" applyBorder="1" applyAlignment="1">
      <alignment horizontal="left" vertical="center" wrapText="1" indent="2"/>
    </xf>
    <xf numFmtId="0" fontId="6" fillId="0" borderId="3" xfId="1" applyNumberFormat="1" applyFont="1" applyFill="1" applyBorder="1" applyAlignment="1" applyProtection="1">
      <alignment horizontal="left" wrapText="1"/>
    </xf>
    <xf numFmtId="0" fontId="6" fillId="0" borderId="3" xfId="1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6" fillId="0" borderId="3" xfId="1" applyNumberFormat="1" applyFont="1" applyFill="1" applyBorder="1" applyAlignment="1" applyProtection="1">
      <alignment horizontal="justify" vertical="center" wrapText="1"/>
    </xf>
    <xf numFmtId="0" fontId="4" fillId="0" borderId="3" xfId="0" applyFont="1" applyFill="1" applyBorder="1"/>
    <xf numFmtId="0" fontId="8" fillId="0" borderId="3" xfId="0" applyFont="1" applyFill="1" applyBorder="1"/>
    <xf numFmtId="0" fontId="6" fillId="0" borderId="3" xfId="1" applyFont="1" applyFill="1" applyBorder="1" applyAlignment="1">
      <alignment horizontal="left" vertical="center" wrapText="1" indent="5"/>
    </xf>
    <xf numFmtId="0" fontId="6" fillId="0" borderId="3" xfId="1" applyNumberFormat="1" applyFont="1" applyFill="1" applyBorder="1" applyAlignment="1" applyProtection="1">
      <alignment horizontal="left" wrapText="1"/>
      <protection hidden="1"/>
    </xf>
    <xf numFmtId="0" fontId="6" fillId="0" borderId="2" xfId="1" applyNumberFormat="1" applyFont="1" applyFill="1" applyBorder="1" applyAlignment="1" applyProtection="1">
      <alignment horizontal="left" wrapText="1"/>
    </xf>
    <xf numFmtId="2" fontId="6" fillId="0" borderId="2" xfId="1" applyNumberFormat="1" applyFont="1" applyFill="1" applyBorder="1" applyAlignment="1" applyProtection="1">
      <alignment horizontal="right" wrapText="1"/>
    </xf>
    <xf numFmtId="164" fontId="7" fillId="0" borderId="2" xfId="1" applyNumberFormat="1" applyFont="1" applyFill="1" applyBorder="1" applyAlignment="1" applyProtection="1">
      <alignment horizontal="right" wrapText="1"/>
    </xf>
    <xf numFmtId="0" fontId="10" fillId="0" borderId="0" xfId="1" applyNumberFormat="1" applyFont="1" applyFill="1" applyBorder="1" applyAlignment="1" applyProtection="1">
      <alignment horizontal="left" wrapText="1"/>
    </xf>
    <xf numFmtId="0" fontId="11" fillId="0" borderId="0" xfId="0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164" fontId="6" fillId="0" borderId="4" xfId="1" applyNumberFormat="1" applyFont="1" applyFill="1" applyBorder="1" applyAlignment="1" applyProtection="1">
      <alignment horizontal="right" wrapText="1"/>
    </xf>
    <xf numFmtId="164" fontId="6" fillId="0" borderId="1" xfId="1" applyNumberFormat="1" applyFont="1" applyFill="1" applyBorder="1" applyAlignment="1" applyProtection="1">
      <alignment horizontal="right" wrapText="1"/>
    </xf>
    <xf numFmtId="0" fontId="13" fillId="0" borderId="0" xfId="0" applyFont="1" applyAlignment="1">
      <alignment horizontal="justify"/>
    </xf>
    <xf numFmtId="0" fontId="14" fillId="0" borderId="0" xfId="0" applyFont="1" applyBorder="1" applyAlignment="1">
      <alignment horizontal="right" wrapText="1"/>
    </xf>
    <xf numFmtId="0" fontId="7" fillId="0" borderId="0" xfId="1" applyNumberFormat="1" applyFont="1" applyFill="1" applyBorder="1" applyAlignment="1" applyProtection="1">
      <alignment horizontal="left" wrapText="1"/>
    </xf>
    <xf numFmtId="0" fontId="13" fillId="0" borderId="0" xfId="0" applyFont="1" applyBorder="1" applyAlignment="1">
      <alignment horizontal="justify"/>
    </xf>
    <xf numFmtId="0" fontId="1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9" defaultPivotStyle="PivotStyleLight16"/>
  <colors>
    <mruColors>
      <color rgb="FFFFFFAB"/>
      <color rgb="FFF8F8FE"/>
      <color rgb="FFE8EC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opLeftCell="A8" zoomScale="60" zoomScaleNormal="60" workbookViewId="0">
      <selection activeCell="C42" sqref="C42"/>
    </sheetView>
  </sheetViews>
  <sheetFormatPr defaultColWidth="13.140625" defaultRowHeight="15" x14ac:dyDescent="0.25"/>
  <cols>
    <col min="1" max="1" width="95.140625" style="1" customWidth="1"/>
    <col min="2" max="3" width="23.7109375" style="1" customWidth="1"/>
    <col min="4" max="4" width="24.42578125" style="1" customWidth="1"/>
    <col min="5" max="5" width="24.28515625" style="1" customWidth="1"/>
    <col min="6" max="6" width="23.28515625" style="1" customWidth="1"/>
    <col min="7" max="7" width="25" style="1" customWidth="1"/>
    <col min="8" max="16384" width="13.140625" style="1"/>
  </cols>
  <sheetData>
    <row r="1" spans="1:7" ht="45.75" customHeight="1" thickBot="1" x14ac:dyDescent="0.3">
      <c r="A1" s="36" t="s">
        <v>21</v>
      </c>
      <c r="B1" s="36"/>
      <c r="C1" s="36"/>
      <c r="D1" s="36"/>
      <c r="E1" s="36"/>
      <c r="F1" s="36"/>
      <c r="G1" s="36"/>
    </row>
    <row r="2" spans="1:7" ht="27.75" customHeight="1" thickTop="1" x14ac:dyDescent="0.25">
      <c r="A2" s="37" t="s">
        <v>0</v>
      </c>
      <c r="B2" s="37" t="s">
        <v>1</v>
      </c>
      <c r="C2" s="37"/>
      <c r="D2" s="37" t="s">
        <v>22</v>
      </c>
      <c r="E2" s="37"/>
      <c r="F2" s="39" t="s">
        <v>29</v>
      </c>
      <c r="G2" s="39"/>
    </row>
    <row r="3" spans="1:7" ht="43.5" customHeight="1" thickBot="1" x14ac:dyDescent="0.3">
      <c r="A3" s="38"/>
      <c r="B3" s="2" t="s">
        <v>33</v>
      </c>
      <c r="C3" s="2" t="s">
        <v>45</v>
      </c>
      <c r="D3" s="2" t="s">
        <v>33</v>
      </c>
      <c r="E3" s="2" t="s">
        <v>45</v>
      </c>
      <c r="F3" s="2" t="s">
        <v>33</v>
      </c>
      <c r="G3" s="2" t="s">
        <v>45</v>
      </c>
    </row>
    <row r="4" spans="1:7" ht="61.5" thickTop="1" x14ac:dyDescent="0.3">
      <c r="A4" s="3" t="s">
        <v>20</v>
      </c>
      <c r="B4" s="4" t="s">
        <v>43</v>
      </c>
      <c r="C4" s="4"/>
      <c r="D4" s="4">
        <v>878.02359999999999</v>
      </c>
      <c r="E4" s="4"/>
      <c r="F4" s="5">
        <v>2.7</v>
      </c>
      <c r="G4" s="5"/>
    </row>
    <row r="5" spans="1:7" ht="20.25" x14ac:dyDescent="0.3">
      <c r="A5" s="6" t="s">
        <v>2</v>
      </c>
      <c r="B5" s="7" t="s">
        <v>44</v>
      </c>
      <c r="C5" s="7" t="s">
        <v>46</v>
      </c>
      <c r="D5" s="7">
        <v>95.8</v>
      </c>
      <c r="E5" s="7"/>
      <c r="F5" s="8"/>
      <c r="G5" s="8"/>
    </row>
    <row r="6" spans="1:7" ht="20.25" customHeight="1" x14ac:dyDescent="0.3">
      <c r="A6" s="9"/>
      <c r="B6" s="7"/>
      <c r="C6" s="7"/>
      <c r="D6" s="7"/>
      <c r="E6" s="7"/>
      <c r="F6" s="8"/>
      <c r="G6" s="8"/>
    </row>
    <row r="7" spans="1:7" ht="40.5" customHeight="1" x14ac:dyDescent="0.3">
      <c r="A7" s="10" t="s">
        <v>30</v>
      </c>
      <c r="B7" s="7">
        <v>108.8</v>
      </c>
      <c r="C7" s="7">
        <v>101.6</v>
      </c>
      <c r="D7" s="7">
        <v>107.5</v>
      </c>
      <c r="E7" s="7">
        <v>102</v>
      </c>
      <c r="F7" s="8"/>
      <c r="G7" s="8"/>
    </row>
    <row r="8" spans="1:7" ht="20.25" customHeight="1" x14ac:dyDescent="0.3">
      <c r="A8" s="11" t="s">
        <v>23</v>
      </c>
      <c r="B8" s="7">
        <v>106.1</v>
      </c>
      <c r="C8" s="7">
        <v>101.4</v>
      </c>
      <c r="D8" s="7">
        <v>104.4</v>
      </c>
      <c r="E8" s="7">
        <v>101.7</v>
      </c>
      <c r="F8" s="8"/>
      <c r="G8" s="8"/>
    </row>
    <row r="9" spans="1:7" ht="20.25" customHeight="1" x14ac:dyDescent="0.3">
      <c r="A9" s="11" t="s">
        <v>24</v>
      </c>
      <c r="B9" s="7">
        <v>109.7</v>
      </c>
      <c r="C9" s="7">
        <v>100.2</v>
      </c>
      <c r="D9" s="7">
        <v>109.1</v>
      </c>
      <c r="E9" s="7">
        <v>100.3</v>
      </c>
      <c r="F9" s="8"/>
      <c r="G9" s="8"/>
    </row>
    <row r="10" spans="1:7" ht="20.25" customHeight="1" x14ac:dyDescent="0.3">
      <c r="A10" s="11" t="s">
        <v>25</v>
      </c>
      <c r="B10" s="7">
        <v>111.6</v>
      </c>
      <c r="C10" s="7">
        <v>103.9</v>
      </c>
      <c r="D10" s="7">
        <v>109.5</v>
      </c>
      <c r="E10" s="7">
        <v>104.5</v>
      </c>
      <c r="F10" s="8"/>
      <c r="G10" s="8"/>
    </row>
    <row r="11" spans="1:7" ht="20.25" customHeight="1" x14ac:dyDescent="0.3">
      <c r="A11" s="12"/>
      <c r="B11" s="7"/>
      <c r="C11" s="7"/>
      <c r="D11" s="7"/>
      <c r="E11" s="7"/>
      <c r="F11" s="8"/>
      <c r="G11" s="8"/>
    </row>
    <row r="12" spans="1:7" ht="62.25" customHeight="1" x14ac:dyDescent="0.3">
      <c r="A12" s="13" t="s">
        <v>31</v>
      </c>
      <c r="B12" s="7">
        <v>21483.9</v>
      </c>
      <c r="C12" s="7">
        <v>1764.6</v>
      </c>
      <c r="D12" s="7">
        <v>859.01610000000005</v>
      </c>
      <c r="E12" s="7">
        <v>71.151600000000002</v>
      </c>
      <c r="F12" s="8">
        <f>D12/B12*100</f>
        <v>3.998417885020876</v>
      </c>
      <c r="G12" s="8">
        <f>E12/C12*100</f>
        <v>4.0321659299557977</v>
      </c>
    </row>
    <row r="13" spans="1:7" ht="20.25" x14ac:dyDescent="0.3">
      <c r="A13" s="12"/>
      <c r="B13" s="7"/>
      <c r="C13" s="7"/>
      <c r="D13" s="7"/>
      <c r="E13" s="7"/>
      <c r="F13" s="8"/>
      <c r="G13" s="8"/>
    </row>
    <row r="14" spans="1:7" ht="40.5" x14ac:dyDescent="0.3">
      <c r="A14" s="14" t="s">
        <v>32</v>
      </c>
      <c r="B14" s="7">
        <v>89.2</v>
      </c>
      <c r="C14" s="7">
        <v>107.8</v>
      </c>
      <c r="D14" s="7">
        <v>91.5</v>
      </c>
      <c r="E14" s="7">
        <v>114.2</v>
      </c>
      <c r="F14" s="8"/>
      <c r="G14" s="8"/>
    </row>
    <row r="15" spans="1:7" ht="20.25" x14ac:dyDescent="0.3">
      <c r="A15" s="11" t="s">
        <v>26</v>
      </c>
      <c r="B15" s="7">
        <v>98.8</v>
      </c>
      <c r="C15" s="7">
        <v>106.9</v>
      </c>
      <c r="D15" s="7">
        <v>100.6</v>
      </c>
      <c r="E15" s="7">
        <v>100.8</v>
      </c>
      <c r="F15" s="8"/>
      <c r="G15" s="8"/>
    </row>
    <row r="16" spans="1:7" ht="40.5" x14ac:dyDescent="0.3">
      <c r="A16" s="11" t="s">
        <v>27</v>
      </c>
      <c r="B16" s="7">
        <v>84</v>
      </c>
      <c r="C16" s="7">
        <v>107.6</v>
      </c>
      <c r="D16" s="7">
        <v>85.4</v>
      </c>
      <c r="E16" s="7">
        <v>137.19999999999999</v>
      </c>
      <c r="F16" s="8"/>
      <c r="G16" s="8"/>
    </row>
    <row r="17" spans="1:13" ht="40.5" x14ac:dyDescent="0.3">
      <c r="A17" s="11" t="s">
        <v>28</v>
      </c>
      <c r="B17" s="7">
        <v>95.2</v>
      </c>
      <c r="C17" s="7">
        <v>108.4</v>
      </c>
      <c r="D17" s="7">
        <v>90.5</v>
      </c>
      <c r="E17" s="7">
        <v>117.7</v>
      </c>
      <c r="F17" s="8"/>
      <c r="G17" s="8"/>
    </row>
    <row r="18" spans="1:13" ht="20.25" x14ac:dyDescent="0.3">
      <c r="A18" s="14"/>
      <c r="B18" s="7"/>
      <c r="C18" s="7"/>
      <c r="D18" s="7"/>
      <c r="E18" s="7"/>
      <c r="F18" s="8"/>
      <c r="G18" s="8"/>
    </row>
    <row r="19" spans="1:13" ht="40.5" x14ac:dyDescent="0.3">
      <c r="A19" s="14" t="s">
        <v>34</v>
      </c>
      <c r="B19" s="7"/>
      <c r="C19" s="7"/>
      <c r="D19" s="7"/>
      <c r="E19" s="7"/>
      <c r="F19" s="8"/>
      <c r="G19" s="8"/>
    </row>
    <row r="20" spans="1:13" ht="20.25" x14ac:dyDescent="0.3">
      <c r="A20" s="11" t="s">
        <v>6</v>
      </c>
      <c r="B20" s="7">
        <v>494</v>
      </c>
      <c r="C20" s="7">
        <v>42.6</v>
      </c>
      <c r="D20" s="7">
        <v>32.4</v>
      </c>
      <c r="E20" s="7">
        <v>2.8</v>
      </c>
      <c r="F20" s="8">
        <f>D20/B20*100</f>
        <v>6.5587044534412957</v>
      </c>
      <c r="G20" s="8">
        <f>E20/C20*100</f>
        <v>6.5727699530516421</v>
      </c>
    </row>
    <row r="21" spans="1:13" ht="20.25" x14ac:dyDescent="0.3">
      <c r="A21" s="11" t="s">
        <v>7</v>
      </c>
      <c r="B21" s="7">
        <v>35800</v>
      </c>
      <c r="C21" s="7">
        <v>3000</v>
      </c>
      <c r="D21" s="7">
        <v>618.4</v>
      </c>
      <c r="E21" s="7">
        <v>61.7</v>
      </c>
      <c r="F21" s="8">
        <f t="shared" ref="F21:F29" si="0">D21/B21*100</f>
        <v>1.7273743016759775</v>
      </c>
      <c r="G21" s="8">
        <f t="shared" ref="G21:G29" si="1">E21/C21*100</f>
        <v>2.0566666666666666</v>
      </c>
    </row>
    <row r="22" spans="1:13" ht="20.25" x14ac:dyDescent="0.3">
      <c r="A22" s="11" t="s">
        <v>8</v>
      </c>
      <c r="B22" s="7">
        <v>971</v>
      </c>
      <c r="C22" s="7">
        <v>91.2</v>
      </c>
      <c r="D22" s="7">
        <v>407.3</v>
      </c>
      <c r="E22" s="7">
        <v>37.299999999999997</v>
      </c>
      <c r="F22" s="8">
        <f t="shared" si="0"/>
        <v>41.946446961894956</v>
      </c>
      <c r="G22" s="8">
        <f t="shared" si="1"/>
        <v>40.899122807017541</v>
      </c>
    </row>
    <row r="23" spans="1:13" ht="20.25" x14ac:dyDescent="0.3">
      <c r="A23" s="11" t="s">
        <v>9</v>
      </c>
      <c r="B23" s="7">
        <v>1411</v>
      </c>
      <c r="C23" s="7">
        <v>137</v>
      </c>
      <c r="D23" s="7">
        <v>731.9</v>
      </c>
      <c r="E23" s="7">
        <v>67</v>
      </c>
      <c r="F23" s="8">
        <f t="shared" si="0"/>
        <v>51.871013465627215</v>
      </c>
      <c r="G23" s="8">
        <f t="shared" si="1"/>
        <v>48.9051094890511</v>
      </c>
      <c r="M23" s="15"/>
    </row>
    <row r="24" spans="1:13" ht="20.25" x14ac:dyDescent="0.3">
      <c r="A24" s="11" t="s">
        <v>40</v>
      </c>
      <c r="B24" s="7">
        <v>27.995000000000001</v>
      </c>
      <c r="C24" s="7">
        <v>1797.9</v>
      </c>
      <c r="D24" s="7">
        <v>9.4</v>
      </c>
      <c r="E24" s="7">
        <v>0.7</v>
      </c>
      <c r="F24" s="8">
        <f t="shared" si="0"/>
        <v>33.577424540096445</v>
      </c>
      <c r="G24" s="8">
        <f t="shared" si="1"/>
        <v>3.8934312253184264E-2</v>
      </c>
      <c r="M24" s="15"/>
    </row>
    <row r="25" spans="1:13" ht="20.25" x14ac:dyDescent="0.3">
      <c r="A25" s="11" t="s">
        <v>10</v>
      </c>
      <c r="B25" s="7">
        <v>91.4</v>
      </c>
      <c r="C25" s="7">
        <v>3</v>
      </c>
      <c r="D25" s="7">
        <v>27.9</v>
      </c>
      <c r="E25" s="7">
        <v>1.8919999999999999</v>
      </c>
      <c r="F25" s="8">
        <f t="shared" si="0"/>
        <v>30.525164113785554</v>
      </c>
      <c r="G25" s="8">
        <f t="shared" si="1"/>
        <v>63.066666666666663</v>
      </c>
      <c r="M25" s="15"/>
    </row>
    <row r="26" spans="1:13" ht="20.25" x14ac:dyDescent="0.3">
      <c r="A26" s="11" t="s">
        <v>11</v>
      </c>
      <c r="B26" s="7">
        <v>597</v>
      </c>
      <c r="C26" s="7">
        <v>43.1</v>
      </c>
      <c r="D26" s="7">
        <v>5.4</v>
      </c>
      <c r="E26" s="7">
        <v>0.123</v>
      </c>
      <c r="F26" s="8">
        <f t="shared" si="0"/>
        <v>0.90452261306532677</v>
      </c>
      <c r="G26" s="8">
        <f t="shared" si="1"/>
        <v>0.28538283062645009</v>
      </c>
    </row>
    <row r="27" spans="1:13" ht="20.25" x14ac:dyDescent="0.3">
      <c r="A27" s="11" t="s">
        <v>19</v>
      </c>
      <c r="B27" s="7">
        <v>3923</v>
      </c>
      <c r="C27" s="7">
        <v>365</v>
      </c>
      <c r="D27" s="7">
        <v>56.7</v>
      </c>
      <c r="E27" s="7">
        <v>8.3000000000000007</v>
      </c>
      <c r="F27" s="8">
        <f t="shared" si="0"/>
        <v>1.4453224573030843</v>
      </c>
      <c r="G27" s="8">
        <f t="shared" si="1"/>
        <v>2.2739726027397262</v>
      </c>
      <c r="J27" s="16"/>
    </row>
    <row r="28" spans="1:13" ht="20.25" x14ac:dyDescent="0.3">
      <c r="A28" s="11" t="s">
        <v>18</v>
      </c>
      <c r="B28" s="7">
        <v>3450</v>
      </c>
      <c r="C28" s="7">
        <v>251</v>
      </c>
      <c r="D28" s="7">
        <v>153.9</v>
      </c>
      <c r="E28" s="7">
        <v>7.9</v>
      </c>
      <c r="F28" s="8">
        <f t="shared" si="0"/>
        <v>4.4608695652173918</v>
      </c>
      <c r="G28" s="8">
        <f t="shared" si="1"/>
        <v>3.1474103585657374</v>
      </c>
      <c r="J28" s="16"/>
    </row>
    <row r="29" spans="1:13" ht="20.25" x14ac:dyDescent="0.3">
      <c r="A29" s="11" t="s">
        <v>12</v>
      </c>
      <c r="B29" s="7">
        <v>929</v>
      </c>
      <c r="C29" s="7">
        <v>62.4</v>
      </c>
      <c r="D29" s="7">
        <v>112</v>
      </c>
      <c r="E29" s="7">
        <v>5.4</v>
      </c>
      <c r="F29" s="8">
        <f t="shared" si="0"/>
        <v>12.055974165769644</v>
      </c>
      <c r="G29" s="8">
        <f t="shared" si="1"/>
        <v>8.6538461538461551</v>
      </c>
      <c r="J29" s="16"/>
    </row>
    <row r="30" spans="1:13" ht="20.25" x14ac:dyDescent="0.3">
      <c r="A30" s="14"/>
      <c r="B30" s="7"/>
      <c r="C30" s="7"/>
      <c r="D30" s="7"/>
      <c r="E30" s="7"/>
      <c r="F30" s="8"/>
      <c r="G30" s="8"/>
    </row>
    <row r="31" spans="1:13" ht="40.5" x14ac:dyDescent="0.3">
      <c r="A31" s="13" t="s">
        <v>35</v>
      </c>
      <c r="B31" s="7">
        <v>113.9</v>
      </c>
      <c r="C31" s="7">
        <v>99</v>
      </c>
      <c r="D31" s="7">
        <v>128.5</v>
      </c>
      <c r="E31" s="7">
        <v>102.9</v>
      </c>
      <c r="F31" s="8"/>
      <c r="G31" s="8"/>
    </row>
    <row r="32" spans="1:13" ht="20.25" x14ac:dyDescent="0.3">
      <c r="A32" s="13"/>
      <c r="B32" s="7"/>
      <c r="C32" s="7"/>
      <c r="D32" s="7"/>
      <c r="E32" s="7"/>
      <c r="F32" s="8"/>
      <c r="G32" s="8"/>
    </row>
    <row r="33" spans="1:7" ht="40.5" x14ac:dyDescent="0.3">
      <c r="A33" s="17" t="s">
        <v>36</v>
      </c>
      <c r="B33" s="7">
        <v>2551.6999999999998</v>
      </c>
      <c r="C33" s="7">
        <v>73.099999999999994</v>
      </c>
      <c r="D33" s="7">
        <v>119.1283</v>
      </c>
      <c r="E33" s="7">
        <v>5599.1</v>
      </c>
      <c r="F33" s="8">
        <f t="shared" ref="F33:F62" si="2">D33/B33*100</f>
        <v>4.6685856487831643</v>
      </c>
      <c r="G33" s="8">
        <v>4.6685856487831643</v>
      </c>
    </row>
    <row r="34" spans="1:7" ht="20.25" x14ac:dyDescent="0.3">
      <c r="A34" s="6" t="s">
        <v>2</v>
      </c>
      <c r="B34" s="7">
        <v>101.2</v>
      </c>
      <c r="C34" s="7">
        <v>103.2</v>
      </c>
      <c r="D34" s="7">
        <v>100.1</v>
      </c>
      <c r="E34" s="7">
        <v>106.1</v>
      </c>
      <c r="F34" s="8"/>
      <c r="G34" s="8"/>
    </row>
    <row r="35" spans="1:7" ht="20.25" x14ac:dyDescent="0.3">
      <c r="A35" s="6"/>
      <c r="B35" s="7"/>
      <c r="C35" s="7"/>
      <c r="D35" s="7"/>
      <c r="E35" s="7"/>
      <c r="F35" s="8"/>
      <c r="G35" s="8"/>
    </row>
    <row r="36" spans="1:7" ht="40.5" x14ac:dyDescent="0.3">
      <c r="A36" s="17" t="s">
        <v>37</v>
      </c>
      <c r="B36" s="7">
        <v>3869.1</v>
      </c>
      <c r="C36" s="7">
        <v>169.3</v>
      </c>
      <c r="D36" s="7">
        <v>184.07130000000001</v>
      </c>
      <c r="E36" s="7">
        <v>6611.6</v>
      </c>
      <c r="F36" s="8">
        <f t="shared" si="2"/>
        <v>4.7574707296270455</v>
      </c>
      <c r="G36" s="8">
        <v>4.7574707296270455</v>
      </c>
    </row>
    <row r="37" spans="1:7" ht="20.25" x14ac:dyDescent="0.3">
      <c r="A37" s="6" t="s">
        <v>2</v>
      </c>
      <c r="B37" s="7">
        <v>84</v>
      </c>
      <c r="C37" s="7">
        <v>89.4</v>
      </c>
      <c r="D37" s="7">
        <v>104.5</v>
      </c>
      <c r="E37" s="7">
        <v>105.2</v>
      </c>
      <c r="F37" s="8"/>
      <c r="G37" s="8"/>
    </row>
    <row r="38" spans="1:7" ht="20.25" x14ac:dyDescent="0.3">
      <c r="A38" s="9"/>
      <c r="B38" s="7"/>
      <c r="C38" s="7"/>
      <c r="D38" s="7"/>
      <c r="E38" s="7"/>
      <c r="F38" s="8"/>
      <c r="G38" s="8"/>
    </row>
    <row r="39" spans="1:7" ht="20.25" x14ac:dyDescent="0.3">
      <c r="A39" s="17" t="s">
        <v>38</v>
      </c>
      <c r="B39" s="7">
        <v>180.1</v>
      </c>
      <c r="C39" s="7">
        <v>12.4</v>
      </c>
      <c r="D39" s="7">
        <v>2.3668</v>
      </c>
      <c r="E39" s="7">
        <v>0.2</v>
      </c>
      <c r="F39" s="8">
        <f t="shared" si="2"/>
        <v>1.3141588006662965</v>
      </c>
      <c r="G39" s="8">
        <v>1.3141588006662965</v>
      </c>
    </row>
    <row r="40" spans="1:7" ht="20.25" x14ac:dyDescent="0.3">
      <c r="A40" s="6" t="s">
        <v>2</v>
      </c>
      <c r="B40" s="7">
        <v>83.3</v>
      </c>
      <c r="C40" s="7">
        <v>102.6</v>
      </c>
      <c r="D40" s="7">
        <v>89.8</v>
      </c>
      <c r="E40" s="7">
        <v>93.3</v>
      </c>
      <c r="F40" s="8"/>
      <c r="G40" s="8"/>
    </row>
    <row r="41" spans="1:7" ht="20.25" x14ac:dyDescent="0.3">
      <c r="A41" s="9"/>
      <c r="B41" s="19"/>
      <c r="C41" s="19"/>
      <c r="D41" s="18"/>
      <c r="E41" s="18"/>
      <c r="F41" s="8"/>
      <c r="G41" s="8"/>
    </row>
    <row r="42" spans="1:7" ht="60.75" x14ac:dyDescent="0.3">
      <c r="A42" s="13" t="s">
        <v>13</v>
      </c>
      <c r="B42" s="7" t="s">
        <v>41</v>
      </c>
      <c r="C42" s="7">
        <v>319.2</v>
      </c>
      <c r="D42" s="7">
        <v>267.8</v>
      </c>
      <c r="E42" s="7"/>
      <c r="F42" s="8">
        <f>D42/7539.9*100</f>
        <v>3.5517712436504465</v>
      </c>
      <c r="G42" s="8">
        <v>3.6</v>
      </c>
    </row>
    <row r="43" spans="1:7" ht="20.25" x14ac:dyDescent="0.3">
      <c r="A43" s="20" t="s">
        <v>2</v>
      </c>
      <c r="B43" s="7">
        <v>83</v>
      </c>
      <c r="C43" s="7">
        <v>91.3</v>
      </c>
      <c r="D43" s="7">
        <v>93.3</v>
      </c>
      <c r="E43" s="7"/>
      <c r="F43" s="8"/>
      <c r="G43" s="8"/>
    </row>
    <row r="44" spans="1:7" ht="20.25" x14ac:dyDescent="0.3">
      <c r="A44" s="12"/>
      <c r="B44" s="7"/>
      <c r="C44" s="7"/>
      <c r="D44" s="7"/>
      <c r="E44" s="7"/>
      <c r="F44" s="8"/>
      <c r="G44" s="8"/>
    </row>
    <row r="45" spans="1:7" ht="40.5" x14ac:dyDescent="0.3">
      <c r="A45" s="21" t="s">
        <v>14</v>
      </c>
      <c r="B45" s="7">
        <v>59800</v>
      </c>
      <c r="C45" s="7">
        <f>3.1*1000</f>
        <v>3100</v>
      </c>
      <c r="D45" s="7">
        <v>2010.2</v>
      </c>
      <c r="E45" s="7">
        <v>196.8</v>
      </c>
      <c r="F45" s="8">
        <f t="shared" si="2"/>
        <v>3.3615384615384616</v>
      </c>
      <c r="G45" s="8">
        <v>3.3615384615384616</v>
      </c>
    </row>
    <row r="46" spans="1:7" ht="20.25" x14ac:dyDescent="0.3">
      <c r="A46" s="6" t="s">
        <v>3</v>
      </c>
      <c r="B46" s="7">
        <v>93.3</v>
      </c>
      <c r="C46" s="7">
        <v>99.9</v>
      </c>
      <c r="D46" s="7">
        <v>90.4</v>
      </c>
      <c r="E46" s="7">
        <v>69.7</v>
      </c>
      <c r="F46" s="8"/>
      <c r="G46" s="8"/>
    </row>
    <row r="47" spans="1:7" ht="20.25" x14ac:dyDescent="0.3">
      <c r="A47" s="9"/>
      <c r="B47" s="7"/>
      <c r="C47" s="7"/>
      <c r="D47" s="7"/>
      <c r="E47" s="7"/>
      <c r="F47" s="8"/>
      <c r="G47" s="8"/>
    </row>
    <row r="48" spans="1:7" ht="40.5" x14ac:dyDescent="0.3">
      <c r="A48" s="13" t="s">
        <v>15</v>
      </c>
      <c r="B48" s="7">
        <v>14516.9</v>
      </c>
      <c r="C48" s="7">
        <v>1185.2</v>
      </c>
      <c r="D48" s="7">
        <v>393.90359999999998</v>
      </c>
      <c r="E48" s="7">
        <v>32.851199999999999</v>
      </c>
      <c r="F48" s="8">
        <f t="shared" si="2"/>
        <v>2.713414020899779</v>
      </c>
      <c r="G48" s="8">
        <v>2.713414020899779</v>
      </c>
    </row>
    <row r="49" spans="1:7" ht="20.25" x14ac:dyDescent="0.3">
      <c r="A49" s="6" t="s">
        <v>2</v>
      </c>
      <c r="B49" s="7">
        <v>94.5</v>
      </c>
      <c r="C49" s="7">
        <v>100.3</v>
      </c>
      <c r="D49" s="7">
        <v>97.9</v>
      </c>
      <c r="E49" s="7">
        <v>104.1</v>
      </c>
      <c r="F49" s="8"/>
      <c r="G49" s="8"/>
    </row>
    <row r="50" spans="1:7" ht="20.25" x14ac:dyDescent="0.3">
      <c r="A50" s="9"/>
      <c r="B50" s="18"/>
      <c r="C50" s="18"/>
      <c r="D50" s="7"/>
      <c r="E50" s="7"/>
      <c r="F50" s="8"/>
      <c r="G50" s="8"/>
    </row>
    <row r="51" spans="1:7" ht="40.5" x14ac:dyDescent="0.3">
      <c r="A51" s="13" t="s">
        <v>16</v>
      </c>
      <c r="B51" s="7">
        <v>4413.7</v>
      </c>
      <c r="C51" s="7">
        <v>358.3</v>
      </c>
      <c r="D51" s="7">
        <v>128.7988</v>
      </c>
      <c r="E51" s="7">
        <v>11.840999999999999</v>
      </c>
      <c r="F51" s="8">
        <f t="shared" si="2"/>
        <v>2.9181593674241566</v>
      </c>
      <c r="G51" s="8">
        <v>2.9181593674241566</v>
      </c>
    </row>
    <row r="52" spans="1:7" ht="20.25" x14ac:dyDescent="0.3">
      <c r="A52" s="6" t="s">
        <v>2</v>
      </c>
      <c r="B52" s="7">
        <v>95.7</v>
      </c>
      <c r="C52" s="7">
        <v>98.4</v>
      </c>
      <c r="D52" s="7">
        <v>94.8</v>
      </c>
      <c r="E52" s="7">
        <v>100.1</v>
      </c>
      <c r="F52" s="8"/>
      <c r="G52" s="8"/>
    </row>
    <row r="53" spans="1:7" ht="20.25" x14ac:dyDescent="0.3">
      <c r="A53" s="9"/>
      <c r="B53" s="7"/>
      <c r="C53" s="7"/>
      <c r="D53" s="7"/>
      <c r="E53" s="7"/>
      <c r="F53" s="8"/>
      <c r="G53" s="8"/>
    </row>
    <row r="54" spans="1:7" ht="40.5" x14ac:dyDescent="0.3">
      <c r="A54" s="13" t="s">
        <v>5</v>
      </c>
      <c r="B54" s="7">
        <v>97.2</v>
      </c>
      <c r="C54" s="7">
        <v>102.6</v>
      </c>
      <c r="D54" s="7">
        <v>93.2</v>
      </c>
      <c r="E54" s="7">
        <v>102.7</v>
      </c>
      <c r="F54" s="8"/>
      <c r="G54" s="8"/>
    </row>
    <row r="55" spans="1:7" ht="20.25" x14ac:dyDescent="0.3">
      <c r="A55" s="13"/>
      <c r="B55" s="7"/>
      <c r="C55" s="7"/>
      <c r="D55" s="7"/>
      <c r="E55" s="7"/>
      <c r="F55" s="8"/>
      <c r="G55" s="8"/>
    </row>
    <row r="56" spans="1:7" ht="40.5" x14ac:dyDescent="0.3">
      <c r="A56" s="13" t="s">
        <v>17</v>
      </c>
      <c r="B56" s="7">
        <v>18785</v>
      </c>
      <c r="C56" s="7">
        <v>19060</v>
      </c>
      <c r="D56" s="7">
        <v>15208</v>
      </c>
      <c r="E56" s="7">
        <v>15477.7</v>
      </c>
      <c r="F56" s="8">
        <f>D56/B56*100</f>
        <v>80.958211338834175</v>
      </c>
      <c r="G56" s="8">
        <v>79.957412829385149</v>
      </c>
    </row>
    <row r="57" spans="1:7" ht="20.25" x14ac:dyDescent="0.3">
      <c r="A57" s="6" t="s">
        <v>3</v>
      </c>
      <c r="B57" s="7">
        <v>108.5</v>
      </c>
      <c r="C57" s="7">
        <v>110.8</v>
      </c>
      <c r="D57" s="7">
        <v>102.4</v>
      </c>
      <c r="E57" s="7">
        <v>111</v>
      </c>
      <c r="F57" s="8"/>
      <c r="G57" s="8"/>
    </row>
    <row r="58" spans="1:7" ht="20.25" x14ac:dyDescent="0.3">
      <c r="A58" s="9"/>
      <c r="B58" s="7"/>
      <c r="C58" s="7"/>
      <c r="D58" s="7"/>
      <c r="E58" s="7"/>
      <c r="F58" s="8"/>
      <c r="G58" s="8"/>
    </row>
    <row r="59" spans="1:7" ht="20.25" x14ac:dyDescent="0.3">
      <c r="A59" s="13" t="s">
        <v>4</v>
      </c>
      <c r="B59" s="7">
        <v>16818</v>
      </c>
      <c r="C59" s="7">
        <v>12577</v>
      </c>
      <c r="D59" s="7">
        <v>15496.6</v>
      </c>
      <c r="E59" s="7">
        <v>13935.6</v>
      </c>
      <c r="F59" s="8">
        <f>D59/B59*100</f>
        <v>92.142942085860398</v>
      </c>
      <c r="G59" s="8">
        <v>91.815911523367816</v>
      </c>
    </row>
    <row r="60" spans="1:7" ht="20.25" x14ac:dyDescent="0.3">
      <c r="A60" s="6" t="s">
        <v>3</v>
      </c>
      <c r="B60" s="7">
        <v>112.6</v>
      </c>
      <c r="C60" s="7">
        <v>112.5</v>
      </c>
      <c r="D60" s="7">
        <v>109.3</v>
      </c>
      <c r="E60" s="7">
        <v>122.7</v>
      </c>
      <c r="F60" s="8"/>
      <c r="G60" s="8"/>
    </row>
    <row r="61" spans="1:7" ht="20.25" x14ac:dyDescent="0.3">
      <c r="A61" s="9"/>
      <c r="B61" s="7"/>
      <c r="C61" s="7"/>
      <c r="D61" s="7"/>
      <c r="E61" s="7"/>
      <c r="F61" s="8"/>
      <c r="G61" s="8"/>
    </row>
    <row r="62" spans="1:7" ht="61.5" thickBot="1" x14ac:dyDescent="0.35">
      <c r="A62" s="22" t="s">
        <v>39</v>
      </c>
      <c r="B62" s="23">
        <v>2.76</v>
      </c>
      <c r="C62" s="23">
        <v>2.95</v>
      </c>
      <c r="D62" s="23">
        <v>2.8</v>
      </c>
      <c r="E62" s="23">
        <v>3</v>
      </c>
      <c r="F62" s="24">
        <f t="shared" si="2"/>
        <v>101.44927536231884</v>
      </c>
      <c r="G62" s="24"/>
    </row>
    <row r="63" spans="1:7" ht="18.75" thickTop="1" x14ac:dyDescent="0.25">
      <c r="A63" s="25"/>
    </row>
    <row r="64" spans="1:7" ht="18" x14ac:dyDescent="0.25">
      <c r="A64" s="25" t="s">
        <v>42</v>
      </c>
    </row>
    <row r="65" spans="1:1" ht="18" x14ac:dyDescent="0.25">
      <c r="A65" s="25" t="s">
        <v>47</v>
      </c>
    </row>
    <row r="69" spans="1:1" ht="20.25" hidden="1" customHeight="1" x14ac:dyDescent="0.25"/>
    <row r="70" spans="1:1" ht="20.25" hidden="1" customHeight="1" x14ac:dyDescent="0.25"/>
    <row r="72" spans="1:1" ht="15.75" x14ac:dyDescent="0.3">
      <c r="A72" s="26"/>
    </row>
    <row r="74" spans="1:1" x14ac:dyDescent="0.25">
      <c r="A74" s="27"/>
    </row>
  </sheetData>
  <mergeCells count="5">
    <mergeCell ref="A1:G1"/>
    <mergeCell ref="A2:A3"/>
    <mergeCell ref="B2:C2"/>
    <mergeCell ref="D2:E2"/>
    <mergeCell ref="F2:G2"/>
  </mergeCells>
  <pageMargins left="0.70866141732283472" right="0.70866141732283472" top="0.74803149606299213" bottom="0.74803149606299213" header="0.31496062992125984" footer="0.31496062992125984"/>
  <pageSetup paperSize="9" scale="51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zoomScale="50" zoomScaleNormal="50" workbookViewId="0">
      <selection activeCell="J13" sqref="J13"/>
    </sheetView>
  </sheetViews>
  <sheetFormatPr defaultColWidth="13.140625" defaultRowHeight="15" x14ac:dyDescent="0.25"/>
  <cols>
    <col min="1" max="1" width="100.28515625" style="1" customWidth="1"/>
    <col min="2" max="2" width="23.7109375" style="1" customWidth="1"/>
    <col min="3" max="3" width="33.7109375" style="1" customWidth="1"/>
    <col min="4" max="4" width="24.42578125" style="1" customWidth="1"/>
    <col min="5" max="5" width="33.7109375" style="1" customWidth="1"/>
    <col min="6" max="6" width="23.28515625" style="1" customWidth="1"/>
    <col min="7" max="7" width="35.5703125" style="1" customWidth="1"/>
    <col min="8" max="16384" width="13.140625" style="1"/>
  </cols>
  <sheetData>
    <row r="1" spans="1:7" ht="27" thickBot="1" x14ac:dyDescent="0.3">
      <c r="A1" s="36" t="s">
        <v>21</v>
      </c>
      <c r="B1" s="36"/>
      <c r="C1" s="36"/>
      <c r="D1" s="36"/>
      <c r="E1" s="36"/>
      <c r="F1" s="36"/>
      <c r="G1" s="36"/>
    </row>
    <row r="2" spans="1:7" ht="21" thickTop="1" x14ac:dyDescent="0.25">
      <c r="A2" s="37" t="s">
        <v>0</v>
      </c>
      <c r="B2" s="37" t="s">
        <v>1</v>
      </c>
      <c r="C2" s="37"/>
      <c r="D2" s="37" t="s">
        <v>22</v>
      </c>
      <c r="E2" s="37"/>
      <c r="F2" s="39" t="s">
        <v>29</v>
      </c>
      <c r="G2" s="39"/>
    </row>
    <row r="3" spans="1:7" ht="41.25" thickBot="1" x14ac:dyDescent="0.3">
      <c r="A3" s="38"/>
      <c r="B3" s="2" t="s">
        <v>33</v>
      </c>
      <c r="C3" s="2" t="s">
        <v>135</v>
      </c>
      <c r="D3" s="2" t="s">
        <v>33</v>
      </c>
      <c r="E3" s="2" t="s">
        <v>135</v>
      </c>
      <c r="F3" s="2" t="s">
        <v>33</v>
      </c>
      <c r="G3" s="2" t="s">
        <v>136</v>
      </c>
    </row>
    <row r="4" spans="1:7" ht="41.25" thickTop="1" x14ac:dyDescent="0.3">
      <c r="A4" s="3" t="s">
        <v>20</v>
      </c>
      <c r="B4" s="4" t="s">
        <v>66</v>
      </c>
      <c r="C4" s="4" t="s">
        <v>116</v>
      </c>
      <c r="D4" s="4">
        <v>878.02359999999999</v>
      </c>
      <c r="E4" s="4" t="s">
        <v>139</v>
      </c>
      <c r="F4" s="5">
        <v>2.7</v>
      </c>
      <c r="G4" s="5"/>
    </row>
    <row r="5" spans="1:7" ht="20.25" x14ac:dyDescent="0.3">
      <c r="A5" s="6" t="s">
        <v>2</v>
      </c>
      <c r="B5" s="7" t="s">
        <v>44</v>
      </c>
      <c r="C5" s="7" t="s">
        <v>137</v>
      </c>
      <c r="D5" s="7">
        <v>95.8</v>
      </c>
      <c r="E5" s="7" t="s">
        <v>140</v>
      </c>
      <c r="F5" s="8"/>
      <c r="G5" s="8"/>
    </row>
    <row r="6" spans="1:7" ht="20.25" hidden="1" x14ac:dyDescent="0.3">
      <c r="A6" s="9"/>
      <c r="B6" s="7"/>
      <c r="C6" s="7"/>
      <c r="D6" s="7"/>
      <c r="E6" s="7"/>
      <c r="F6" s="8"/>
      <c r="G6" s="8"/>
    </row>
    <row r="7" spans="1:7" ht="40.5" hidden="1" x14ac:dyDescent="0.3">
      <c r="A7" s="33" t="s">
        <v>107</v>
      </c>
      <c r="B7" s="8">
        <f>39063600/69.2/1000</f>
        <v>564.50289017341038</v>
      </c>
      <c r="C7" s="8" t="s">
        <v>117</v>
      </c>
      <c r="D7" s="8">
        <f>D4/1800.9*1000</f>
        <v>487.54711533122327</v>
      </c>
      <c r="E7" s="8" t="s">
        <v>130</v>
      </c>
      <c r="F7" s="8"/>
      <c r="G7" s="8"/>
    </row>
    <row r="8" spans="1:7" ht="20.25" x14ac:dyDescent="0.3">
      <c r="A8" s="9"/>
      <c r="B8" s="7"/>
      <c r="C8" s="7"/>
      <c r="D8" s="7"/>
      <c r="E8" s="7"/>
      <c r="F8" s="8"/>
      <c r="G8" s="8"/>
    </row>
    <row r="9" spans="1:7" ht="40.5" x14ac:dyDescent="0.3">
      <c r="A9" s="10" t="s">
        <v>30</v>
      </c>
      <c r="B9" s="7">
        <v>108.8</v>
      </c>
      <c r="C9" s="7">
        <v>106.8</v>
      </c>
      <c r="D9" s="7">
        <v>107.5</v>
      </c>
      <c r="E9" s="7">
        <v>106.6</v>
      </c>
      <c r="F9" s="8"/>
      <c r="G9" s="8"/>
    </row>
    <row r="10" spans="1:7" ht="20.25" x14ac:dyDescent="0.3">
      <c r="A10" s="11" t="s">
        <v>23</v>
      </c>
      <c r="B10" s="7">
        <v>106.1</v>
      </c>
      <c r="C10" s="7">
        <v>109.1</v>
      </c>
      <c r="D10" s="7">
        <v>104.4</v>
      </c>
      <c r="E10" s="7">
        <v>108.6</v>
      </c>
      <c r="F10" s="8"/>
      <c r="G10" s="8"/>
    </row>
    <row r="11" spans="1:7" ht="20.25" x14ac:dyDescent="0.3">
      <c r="A11" s="11" t="s">
        <v>24</v>
      </c>
      <c r="B11" s="7">
        <v>109.7</v>
      </c>
      <c r="C11" s="7">
        <v>103.8</v>
      </c>
      <c r="D11" s="7">
        <v>109.1</v>
      </c>
      <c r="E11" s="7">
        <v>103.4</v>
      </c>
      <c r="F11" s="8"/>
      <c r="G11" s="8"/>
    </row>
    <row r="12" spans="1:7" ht="20.25" x14ac:dyDescent="0.3">
      <c r="A12" s="11" t="s">
        <v>25</v>
      </c>
      <c r="B12" s="7">
        <v>111.6</v>
      </c>
      <c r="C12" s="7">
        <v>107.4</v>
      </c>
      <c r="D12" s="7">
        <v>109.5</v>
      </c>
      <c r="E12" s="7">
        <v>107.9</v>
      </c>
      <c r="F12" s="8"/>
      <c r="G12" s="8"/>
    </row>
    <row r="13" spans="1:7" ht="20.25" x14ac:dyDescent="0.3">
      <c r="A13" s="12"/>
      <c r="B13" s="7"/>
      <c r="C13" s="7"/>
      <c r="D13" s="7"/>
      <c r="E13" s="7"/>
      <c r="F13" s="8"/>
      <c r="G13" s="8"/>
    </row>
    <row r="14" spans="1:7" ht="40.5" x14ac:dyDescent="0.3">
      <c r="A14" s="13" t="s">
        <v>31</v>
      </c>
      <c r="B14" s="7">
        <v>22493</v>
      </c>
      <c r="C14" s="7"/>
      <c r="D14" s="7">
        <v>859.01610000000005</v>
      </c>
      <c r="E14" s="7">
        <v>828.62609999999995</v>
      </c>
      <c r="F14" s="8">
        <f>D14/B14*100</f>
        <v>3.819037478326591</v>
      </c>
      <c r="G14" s="8"/>
    </row>
    <row r="15" spans="1:7" ht="20.25" x14ac:dyDescent="0.3">
      <c r="A15" s="12"/>
      <c r="B15" s="7"/>
      <c r="C15" s="7"/>
      <c r="D15" s="7"/>
      <c r="E15" s="7"/>
      <c r="F15" s="8"/>
      <c r="G15" s="8"/>
    </row>
    <row r="16" spans="1:7" ht="40.5" x14ac:dyDescent="0.3">
      <c r="A16" s="14" t="s">
        <v>32</v>
      </c>
      <c r="B16" s="7">
        <v>90.7</v>
      </c>
      <c r="C16" s="7">
        <v>108.6</v>
      </c>
      <c r="D16" s="7">
        <v>92.3</v>
      </c>
      <c r="E16" s="7">
        <v>108.1</v>
      </c>
      <c r="F16" s="8"/>
      <c r="G16" s="8"/>
    </row>
    <row r="17" spans="1:13" ht="20.25" x14ac:dyDescent="0.3">
      <c r="A17" s="11" t="s">
        <v>26</v>
      </c>
      <c r="B17" s="7">
        <v>99.4</v>
      </c>
      <c r="C17" s="7">
        <v>103.9</v>
      </c>
      <c r="D17" s="7">
        <v>100.6</v>
      </c>
      <c r="E17" s="7">
        <v>100.2</v>
      </c>
      <c r="F17" s="8"/>
      <c r="G17" s="8"/>
    </row>
    <row r="18" spans="1:13" ht="20.25" x14ac:dyDescent="0.3">
      <c r="A18" s="11" t="s">
        <v>27</v>
      </c>
      <c r="B18" s="7">
        <v>84.8</v>
      </c>
      <c r="C18" s="7">
        <v>112.3</v>
      </c>
      <c r="D18" s="7">
        <v>86.8</v>
      </c>
      <c r="E18" s="7">
        <v>115</v>
      </c>
      <c r="F18" s="8"/>
      <c r="G18" s="8"/>
    </row>
    <row r="19" spans="1:13" ht="40.5" x14ac:dyDescent="0.3">
      <c r="A19" s="11" t="s">
        <v>28</v>
      </c>
      <c r="B19" s="7">
        <v>96.1</v>
      </c>
      <c r="C19" s="7">
        <v>105</v>
      </c>
      <c r="D19" s="7">
        <v>90.5</v>
      </c>
      <c r="E19" s="7">
        <v>109.4</v>
      </c>
      <c r="F19" s="8"/>
      <c r="G19" s="8"/>
    </row>
    <row r="20" spans="1:13" ht="20.25" x14ac:dyDescent="0.3">
      <c r="A20" s="14"/>
      <c r="B20" s="7"/>
      <c r="C20" s="7"/>
      <c r="D20" s="7"/>
      <c r="E20" s="7"/>
      <c r="F20" s="8"/>
      <c r="G20" s="8"/>
    </row>
    <row r="21" spans="1:13" ht="40.5" x14ac:dyDescent="0.3">
      <c r="A21" s="14" t="s">
        <v>34</v>
      </c>
      <c r="B21" s="7"/>
      <c r="C21" s="7"/>
      <c r="D21" s="7"/>
      <c r="E21" s="7"/>
      <c r="F21" s="8"/>
      <c r="G21" s="8"/>
    </row>
    <row r="22" spans="1:13" ht="23.25" x14ac:dyDescent="0.35">
      <c r="A22" s="11" t="s">
        <v>6</v>
      </c>
      <c r="B22" s="7">
        <v>494</v>
      </c>
      <c r="C22" s="7">
        <f>81.2+42.8+41.3+38.7+41.5+42.9+42.5+41.6+43.3</f>
        <v>415.8</v>
      </c>
      <c r="D22" s="7">
        <v>32.4</v>
      </c>
      <c r="E22" s="7">
        <v>27</v>
      </c>
      <c r="F22" s="8">
        <f>D22/B22*100</f>
        <v>6.5587044534412957</v>
      </c>
      <c r="G22" s="8">
        <f>E22/C22*100</f>
        <v>6.4935064935064926</v>
      </c>
      <c r="I22" s="4"/>
      <c r="J22" s="28"/>
    </row>
    <row r="23" spans="1:13" ht="20.25" x14ac:dyDescent="0.3">
      <c r="A23" s="11" t="s">
        <v>7</v>
      </c>
      <c r="B23" s="7">
        <v>35800</v>
      </c>
      <c r="C23" s="7">
        <f>3100+5800+2800+2900+2800+3100+3200+3100+3100</f>
        <v>29900</v>
      </c>
      <c r="D23" s="7">
        <v>618.4</v>
      </c>
      <c r="E23" s="7">
        <v>504.3</v>
      </c>
      <c r="F23" s="8">
        <f t="shared" ref="F23:G31" si="0">D23/B23*100</f>
        <v>1.7273743016759775</v>
      </c>
      <c r="G23" s="8">
        <f t="shared" si="0"/>
        <v>1.6866220735785955</v>
      </c>
      <c r="I23" s="31"/>
    </row>
    <row r="24" spans="1:13" ht="20.25" x14ac:dyDescent="0.3">
      <c r="A24" s="11" t="s">
        <v>8</v>
      </c>
      <c r="B24" s="7">
        <v>971</v>
      </c>
      <c r="C24" s="7">
        <f>101+181.3+97.4+96+92.3+84.1+121+130+115</f>
        <v>1018.1</v>
      </c>
      <c r="D24" s="7">
        <v>407.3</v>
      </c>
      <c r="E24" s="7">
        <v>417.9</v>
      </c>
      <c r="F24" s="8">
        <f t="shared" si="0"/>
        <v>41.946446961894956</v>
      </c>
      <c r="G24" s="8">
        <f t="shared" si="0"/>
        <v>41.047048423534029</v>
      </c>
      <c r="I24" s="34"/>
    </row>
    <row r="25" spans="1:13" ht="20.25" x14ac:dyDescent="0.3">
      <c r="A25" s="11" t="s">
        <v>49</v>
      </c>
      <c r="B25" s="7">
        <v>1411</v>
      </c>
      <c r="C25" s="7">
        <f>158+268+137+132+128+113+138+117+95.7</f>
        <v>1286.7</v>
      </c>
      <c r="D25" s="7">
        <v>731.9</v>
      </c>
      <c r="E25" s="7">
        <v>638.1</v>
      </c>
      <c r="F25" s="8">
        <f t="shared" si="0"/>
        <v>51.871013465627215</v>
      </c>
      <c r="G25" s="8">
        <f t="shared" si="0"/>
        <v>49.59197948239683</v>
      </c>
      <c r="I25" s="34"/>
      <c r="M25" s="15"/>
    </row>
    <row r="26" spans="1:13" ht="20.25" x14ac:dyDescent="0.3">
      <c r="A26" s="11" t="s">
        <v>40</v>
      </c>
      <c r="B26" s="7">
        <v>27.995000000000001</v>
      </c>
      <c r="C26" s="7">
        <f>7.4+2.818+2.708+3.034+2.8779+3.329+3.479+3.659</f>
        <v>29.3049</v>
      </c>
      <c r="D26" s="7">
        <v>9.4</v>
      </c>
      <c r="E26" s="7">
        <v>9.1</v>
      </c>
      <c r="F26" s="8">
        <f t="shared" si="0"/>
        <v>33.577424540096445</v>
      </c>
      <c r="G26" s="8">
        <f t="shared" si="0"/>
        <v>31.052827342867573</v>
      </c>
      <c r="I26" s="35"/>
      <c r="M26" s="15"/>
    </row>
    <row r="27" spans="1:13" ht="20.25" x14ac:dyDescent="0.3">
      <c r="A27" s="11" t="s">
        <v>10</v>
      </c>
      <c r="B27" s="7">
        <v>91.4</v>
      </c>
      <c r="C27" s="7">
        <f>11.2+11.9+12.4+10.4+14.9+14.8+11.2+15.8+17.5</f>
        <v>120.1</v>
      </c>
      <c r="D27" s="7">
        <v>27.9</v>
      </c>
      <c r="E27" s="7">
        <v>33.700000000000003</v>
      </c>
      <c r="F27" s="8">
        <f t="shared" si="0"/>
        <v>30.525164113785554</v>
      </c>
      <c r="G27" s="8">
        <f t="shared" si="0"/>
        <v>28.059950041631975</v>
      </c>
      <c r="I27" s="35"/>
      <c r="J27" s="32"/>
      <c r="M27" s="15"/>
    </row>
    <row r="28" spans="1:13" ht="20.25" x14ac:dyDescent="0.3">
      <c r="A28" s="11" t="s">
        <v>11</v>
      </c>
      <c r="B28" s="7">
        <v>597</v>
      </c>
      <c r="C28" s="7">
        <f>85+103.3+93.7+96.5+108+111+98.3+128+131</f>
        <v>954.8</v>
      </c>
      <c r="D28" s="7">
        <v>5.4</v>
      </c>
      <c r="E28" s="7">
        <v>7.4</v>
      </c>
      <c r="F28" s="8">
        <f t="shared" si="0"/>
        <v>0.90452261306532677</v>
      </c>
      <c r="G28" s="8">
        <f t="shared" si="0"/>
        <v>0.77503142019271054</v>
      </c>
      <c r="I28" s="35"/>
    </row>
    <row r="29" spans="1:13" ht="20.25" x14ac:dyDescent="0.3">
      <c r="A29" s="11" t="s">
        <v>19</v>
      </c>
      <c r="B29" s="7">
        <v>3923</v>
      </c>
      <c r="C29" s="7">
        <f>393+712+363+389+365+393+374+377+398</f>
        <v>3764</v>
      </c>
      <c r="D29" s="7">
        <v>56.7</v>
      </c>
      <c r="E29" s="7">
        <v>96.4</v>
      </c>
      <c r="F29" s="8">
        <f t="shared" si="0"/>
        <v>1.4453224573030843</v>
      </c>
      <c r="G29" s="8">
        <f t="shared" si="0"/>
        <v>2.5611052072263552</v>
      </c>
      <c r="I29" s="32"/>
    </row>
    <row r="30" spans="1:13" ht="20.25" x14ac:dyDescent="0.3">
      <c r="A30" s="11" t="s">
        <v>18</v>
      </c>
      <c r="B30" s="7">
        <v>3450</v>
      </c>
      <c r="C30" s="7">
        <f>271+492+250+244+239+249+244+246+254</f>
        <v>2489</v>
      </c>
      <c r="D30" s="7">
        <v>153.9</v>
      </c>
      <c r="E30" s="7">
        <v>83.3</v>
      </c>
      <c r="F30" s="8">
        <f t="shared" si="0"/>
        <v>4.4608695652173918</v>
      </c>
      <c r="G30" s="8">
        <f t="shared" si="0"/>
        <v>3.3467255926074726</v>
      </c>
    </row>
    <row r="31" spans="1:13" ht="20.25" x14ac:dyDescent="0.3">
      <c r="A31" s="11" t="s">
        <v>12</v>
      </c>
      <c r="B31" s="7">
        <v>929</v>
      </c>
      <c r="C31" s="7">
        <f>85.6+142.8+89.9+90.1+92+98.2+104+107+105</f>
        <v>914.6</v>
      </c>
      <c r="D31" s="7">
        <v>112</v>
      </c>
      <c r="E31" s="7">
        <v>110.1</v>
      </c>
      <c r="F31" s="8">
        <f t="shared" si="0"/>
        <v>12.055974165769644</v>
      </c>
      <c r="G31" s="8">
        <f t="shared" si="0"/>
        <v>12.038049420511697</v>
      </c>
    </row>
    <row r="32" spans="1:13" ht="20.25" x14ac:dyDescent="0.3">
      <c r="A32" s="14"/>
      <c r="B32" s="7"/>
      <c r="C32" s="7"/>
      <c r="D32" s="7"/>
      <c r="E32" s="7"/>
      <c r="F32" s="8"/>
      <c r="G32" s="8"/>
    </row>
    <row r="33" spans="1:7" ht="40.5" x14ac:dyDescent="0.3">
      <c r="A33" s="13" t="s">
        <v>35</v>
      </c>
      <c r="B33" s="7">
        <v>113.9</v>
      </c>
      <c r="C33" s="7">
        <v>110.7</v>
      </c>
      <c r="D33" s="7">
        <v>128.5</v>
      </c>
      <c r="E33" s="7">
        <v>103.8</v>
      </c>
      <c r="F33" s="8"/>
      <c r="G33" s="8"/>
    </row>
    <row r="34" spans="1:7" ht="20.25" x14ac:dyDescent="0.3">
      <c r="A34" s="13"/>
      <c r="B34" s="7"/>
      <c r="C34" s="7"/>
      <c r="D34" s="7"/>
      <c r="E34" s="7"/>
      <c r="F34" s="8"/>
      <c r="G34" s="8"/>
    </row>
    <row r="35" spans="1:7" ht="40.5" x14ac:dyDescent="0.3">
      <c r="A35" s="17" t="s">
        <v>36</v>
      </c>
      <c r="B35" s="7">
        <v>2551.6999999999998</v>
      </c>
      <c r="C35" s="7">
        <v>2032.3</v>
      </c>
      <c r="D35" s="7">
        <v>119.1283</v>
      </c>
      <c r="E35" s="7">
        <v>93.027299999999997</v>
      </c>
      <c r="F35" s="8">
        <f t="shared" ref="F35:G53" si="1">D35/B35*100</f>
        <v>4.6685856487831643</v>
      </c>
      <c r="G35" s="8">
        <f>E35/C35*100</f>
        <v>4.5774393544260192</v>
      </c>
    </row>
    <row r="36" spans="1:7" ht="20.25" x14ac:dyDescent="0.3">
      <c r="A36" s="6" t="s">
        <v>2</v>
      </c>
      <c r="B36" s="7">
        <v>101.4</v>
      </c>
      <c r="C36" s="7">
        <v>88.4</v>
      </c>
      <c r="D36" s="7">
        <v>100.1</v>
      </c>
      <c r="E36" s="7">
        <v>78.599999999999994</v>
      </c>
      <c r="F36" s="8"/>
      <c r="G36" s="8"/>
    </row>
    <row r="37" spans="1:7" ht="20.25" x14ac:dyDescent="0.3">
      <c r="A37" s="6"/>
      <c r="B37" s="7"/>
      <c r="C37" s="7"/>
      <c r="D37" s="7"/>
      <c r="E37" s="7"/>
      <c r="F37" s="8"/>
      <c r="G37" s="8"/>
    </row>
    <row r="38" spans="1:7" ht="40.5" x14ac:dyDescent="0.3">
      <c r="A38" s="17" t="s">
        <v>37</v>
      </c>
      <c r="B38" s="7">
        <v>3869.1</v>
      </c>
      <c r="C38" s="7">
        <v>3147.5</v>
      </c>
      <c r="D38" s="7">
        <v>184.07130000000001</v>
      </c>
      <c r="E38" s="7">
        <v>124.1602</v>
      </c>
      <c r="F38" s="8">
        <f t="shared" si="1"/>
        <v>4.7574707296270455</v>
      </c>
      <c r="G38" s="8">
        <f t="shared" si="1"/>
        <v>3.9447243844320892</v>
      </c>
    </row>
    <row r="39" spans="1:7" ht="20.25" x14ac:dyDescent="0.3">
      <c r="A39" s="6" t="s">
        <v>2</v>
      </c>
      <c r="B39" s="7">
        <v>84</v>
      </c>
      <c r="C39" s="7">
        <v>100.1</v>
      </c>
      <c r="D39" s="7">
        <v>104.5</v>
      </c>
      <c r="E39" s="7">
        <v>107.2</v>
      </c>
      <c r="F39" s="8"/>
      <c r="G39" s="8"/>
    </row>
    <row r="40" spans="1:7" ht="20.25" x14ac:dyDescent="0.3">
      <c r="A40" s="9"/>
      <c r="B40" s="7"/>
      <c r="C40" s="7"/>
      <c r="D40" s="7"/>
      <c r="E40" s="7"/>
      <c r="F40" s="8"/>
      <c r="G40" s="8"/>
    </row>
    <row r="41" spans="1:7" ht="20.25" x14ac:dyDescent="0.3">
      <c r="A41" s="17" t="s">
        <v>38</v>
      </c>
      <c r="B41" s="7">
        <v>180.1</v>
      </c>
      <c r="C41" s="7">
        <v>162.5</v>
      </c>
      <c r="D41" s="7">
        <v>2.3668</v>
      </c>
      <c r="E41" s="7">
        <v>3.069</v>
      </c>
      <c r="F41" s="8">
        <f t="shared" si="1"/>
        <v>1.3141588006662965</v>
      </c>
      <c r="G41" s="8">
        <f t="shared" si="1"/>
        <v>1.8886153846153844</v>
      </c>
    </row>
    <row r="42" spans="1:7" ht="20.25" x14ac:dyDescent="0.3">
      <c r="A42" s="6" t="s">
        <v>2</v>
      </c>
      <c r="B42" s="7">
        <v>83.3</v>
      </c>
      <c r="C42" s="7">
        <v>110.7</v>
      </c>
      <c r="D42" s="7">
        <v>89.8</v>
      </c>
      <c r="E42" s="7">
        <v>105.2</v>
      </c>
      <c r="F42" s="8"/>
      <c r="G42" s="8"/>
    </row>
    <row r="43" spans="1:7" ht="20.25" x14ac:dyDescent="0.3">
      <c r="A43" s="9"/>
      <c r="B43" s="19"/>
      <c r="C43" s="19"/>
      <c r="D43" s="18"/>
      <c r="E43" s="18"/>
      <c r="F43" s="8"/>
      <c r="G43" s="8"/>
    </row>
    <row r="44" spans="1:7" ht="60.75" x14ac:dyDescent="0.3">
      <c r="A44" s="13" t="s">
        <v>58</v>
      </c>
      <c r="B44" s="7">
        <v>7539.9</v>
      </c>
      <c r="C44" s="7">
        <f>737.9+500.2+521.2+632.2+758.1+680.5+813.7+897.9+956.2</f>
        <v>6497.9</v>
      </c>
      <c r="D44" s="7">
        <v>267.8</v>
      </c>
      <c r="E44" s="7" t="s">
        <v>141</v>
      </c>
      <c r="F44" s="8">
        <f>D44/7539.9*100</f>
        <v>3.5517712436504465</v>
      </c>
      <c r="G44" s="8"/>
    </row>
    <row r="45" spans="1:7" ht="20.25" x14ac:dyDescent="0.3">
      <c r="A45" s="20" t="s">
        <v>2</v>
      </c>
      <c r="B45" s="7">
        <v>83</v>
      </c>
      <c r="C45" s="7">
        <v>104.7</v>
      </c>
      <c r="D45" s="7">
        <v>93.3</v>
      </c>
      <c r="E45" s="7" t="s">
        <v>142</v>
      </c>
      <c r="F45" s="8"/>
      <c r="G45" s="8"/>
    </row>
    <row r="46" spans="1:7" ht="20.25" x14ac:dyDescent="0.3">
      <c r="A46" s="12"/>
      <c r="B46" s="7"/>
      <c r="C46" s="7"/>
      <c r="D46" s="7"/>
      <c r="E46" s="7"/>
      <c r="F46" s="8"/>
      <c r="G46" s="8"/>
    </row>
    <row r="47" spans="1:7" ht="40.5" x14ac:dyDescent="0.3">
      <c r="A47" s="21" t="s">
        <v>14</v>
      </c>
      <c r="B47" s="7">
        <v>59900</v>
      </c>
      <c r="C47" s="7">
        <v>37700</v>
      </c>
      <c r="D47" s="7">
        <v>2010.2</v>
      </c>
      <c r="E47" s="7">
        <v>1518.2</v>
      </c>
      <c r="F47" s="8">
        <f t="shared" si="1"/>
        <v>3.3559265442404005</v>
      </c>
      <c r="G47" s="8">
        <f>E47/C47*100</f>
        <v>4.0270557029177718</v>
      </c>
    </row>
    <row r="48" spans="1:7" ht="20.25" x14ac:dyDescent="0.3">
      <c r="A48" s="6" t="s">
        <v>3</v>
      </c>
      <c r="B48" s="7">
        <v>93.5</v>
      </c>
      <c r="C48" s="7">
        <v>95.1</v>
      </c>
      <c r="D48" s="7">
        <v>90.4</v>
      </c>
      <c r="E48" s="7">
        <v>92.5</v>
      </c>
      <c r="F48" s="8"/>
      <c r="G48" s="8"/>
    </row>
    <row r="49" spans="1:7" ht="20.25" x14ac:dyDescent="0.3">
      <c r="A49" s="9"/>
      <c r="B49" s="7"/>
      <c r="C49" s="7"/>
      <c r="D49" s="7"/>
      <c r="E49" s="7"/>
      <c r="F49" s="8"/>
      <c r="G49" s="8"/>
    </row>
    <row r="50" spans="1:7" ht="40.5" x14ac:dyDescent="0.3">
      <c r="A50" s="13" t="s">
        <v>15</v>
      </c>
      <c r="B50" s="7">
        <v>14602.5</v>
      </c>
      <c r="C50" s="7">
        <v>13194.3</v>
      </c>
      <c r="D50" s="7">
        <v>393.90359999999998</v>
      </c>
      <c r="E50" s="7">
        <v>365.13099999999997</v>
      </c>
      <c r="F50" s="8">
        <f t="shared" si="1"/>
        <v>2.6975079609655879</v>
      </c>
      <c r="G50" s="8">
        <f>E50/C50*100</f>
        <v>2.7673389266577231</v>
      </c>
    </row>
    <row r="51" spans="1:7" ht="20.25" x14ac:dyDescent="0.3">
      <c r="A51" s="6" t="s">
        <v>2</v>
      </c>
      <c r="B51" s="7">
        <v>95.1</v>
      </c>
      <c r="C51" s="7">
        <v>104.4</v>
      </c>
      <c r="D51" s="7">
        <v>97.9</v>
      </c>
      <c r="E51" s="7">
        <v>108.3</v>
      </c>
      <c r="F51" s="8"/>
      <c r="G51" s="8"/>
    </row>
    <row r="52" spans="1:7" ht="20.25" x14ac:dyDescent="0.3">
      <c r="A52" s="9"/>
      <c r="B52" s="7"/>
      <c r="C52" s="18"/>
      <c r="D52" s="7"/>
      <c r="E52" s="7"/>
      <c r="F52" s="8"/>
      <c r="G52" s="8"/>
    </row>
    <row r="53" spans="1:7" ht="40.5" x14ac:dyDescent="0.3">
      <c r="A53" s="13" t="s">
        <v>16</v>
      </c>
      <c r="B53" s="7">
        <v>4413.7</v>
      </c>
      <c r="C53" s="7">
        <f>1515.2+385.7+402.7+411.7+415.4+413.2+413.2</f>
        <v>3957.0999999999995</v>
      </c>
      <c r="D53" s="7">
        <v>128.7988</v>
      </c>
      <c r="E53" s="7">
        <v>122.52419999999999</v>
      </c>
      <c r="F53" s="8">
        <f t="shared" si="1"/>
        <v>2.9181593674241566</v>
      </c>
      <c r="G53" s="8">
        <f>E53/C53*100</f>
        <v>3.0963129564580125</v>
      </c>
    </row>
    <row r="54" spans="1:7" ht="20.25" x14ac:dyDescent="0.3">
      <c r="A54" s="6" t="s">
        <v>2</v>
      </c>
      <c r="B54" s="7">
        <v>95.7</v>
      </c>
      <c r="C54" s="7">
        <v>101.1</v>
      </c>
      <c r="D54" s="7">
        <v>94.8</v>
      </c>
      <c r="E54" s="7">
        <v>105.6</v>
      </c>
      <c r="F54" s="8"/>
      <c r="G54" s="8"/>
    </row>
    <row r="55" spans="1:7" ht="20.25" x14ac:dyDescent="0.3">
      <c r="A55" s="9"/>
      <c r="B55" s="7"/>
      <c r="C55" s="7"/>
      <c r="D55" s="7"/>
      <c r="E55" s="7"/>
      <c r="F55" s="8"/>
      <c r="G55" s="8"/>
    </row>
    <row r="56" spans="1:7" ht="40.5" x14ac:dyDescent="0.3">
      <c r="A56" s="13" t="s">
        <v>5</v>
      </c>
      <c r="B56" s="7">
        <v>96.5</v>
      </c>
      <c r="C56" s="7">
        <v>104.5</v>
      </c>
      <c r="D56" s="7">
        <v>92.8</v>
      </c>
      <c r="E56" s="7" t="s">
        <v>143</v>
      </c>
      <c r="F56" s="8"/>
      <c r="G56" s="8"/>
    </row>
    <row r="57" spans="1:7" ht="20.25" x14ac:dyDescent="0.3">
      <c r="A57" s="13"/>
      <c r="B57" s="7"/>
      <c r="C57" s="7"/>
      <c r="D57" s="7"/>
      <c r="E57" s="7"/>
      <c r="F57" s="8"/>
      <c r="G57" s="8"/>
    </row>
    <row r="58" spans="1:7" ht="40.5" x14ac:dyDescent="0.3">
      <c r="A58" s="13" t="s">
        <v>17</v>
      </c>
      <c r="B58" s="7">
        <v>18638</v>
      </c>
      <c r="C58" s="7">
        <v>20473</v>
      </c>
      <c r="D58" s="7">
        <v>15206.9</v>
      </c>
      <c r="E58" s="7" t="s">
        <v>144</v>
      </c>
      <c r="F58" s="8"/>
      <c r="G58" s="8"/>
    </row>
    <row r="59" spans="1:7" ht="20.25" x14ac:dyDescent="0.3">
      <c r="A59" s="6" t="s">
        <v>3</v>
      </c>
      <c r="B59" s="7">
        <v>107.8</v>
      </c>
      <c r="C59" s="7">
        <v>111.3</v>
      </c>
      <c r="D59" s="7">
        <v>102</v>
      </c>
      <c r="E59" s="7" t="s">
        <v>145</v>
      </c>
      <c r="F59" s="8"/>
      <c r="G59" s="8"/>
    </row>
    <row r="60" spans="1:7" ht="20.25" x14ac:dyDescent="0.3">
      <c r="A60" s="9"/>
      <c r="B60" s="7"/>
      <c r="C60" s="7"/>
      <c r="D60" s="7"/>
      <c r="E60" s="7"/>
      <c r="F60" s="8"/>
      <c r="G60" s="8"/>
    </row>
    <row r="61" spans="1:7" ht="20.25" x14ac:dyDescent="0.3">
      <c r="A61" s="13" t="s">
        <v>4</v>
      </c>
      <c r="B61" s="7">
        <v>16818</v>
      </c>
      <c r="C61" s="7">
        <v>19117</v>
      </c>
      <c r="D61" s="7">
        <v>15522.7</v>
      </c>
      <c r="E61" s="7">
        <v>17345.099999999999</v>
      </c>
      <c r="F61" s="8"/>
      <c r="G61" s="8"/>
    </row>
    <row r="62" spans="1:7" ht="20.25" x14ac:dyDescent="0.3">
      <c r="A62" s="6" t="s">
        <v>3</v>
      </c>
      <c r="B62" s="7">
        <v>112.6</v>
      </c>
      <c r="C62" s="7">
        <v>110.5</v>
      </c>
      <c r="D62" s="7">
        <v>109.5</v>
      </c>
      <c r="E62" s="7">
        <v>116.1</v>
      </c>
      <c r="F62" s="8"/>
      <c r="G62" s="8"/>
    </row>
    <row r="63" spans="1:7" ht="20.25" x14ac:dyDescent="0.3">
      <c r="A63" s="9"/>
      <c r="B63" s="7"/>
      <c r="C63" s="7"/>
      <c r="D63" s="7"/>
      <c r="E63" s="7"/>
      <c r="F63" s="8"/>
      <c r="G63" s="8"/>
    </row>
    <row r="64" spans="1:7" ht="41.25" thickBot="1" x14ac:dyDescent="0.35">
      <c r="A64" s="22" t="s">
        <v>39</v>
      </c>
      <c r="B64" s="23">
        <v>2.76</v>
      </c>
      <c r="C64" s="23">
        <v>2.02</v>
      </c>
      <c r="D64" s="23">
        <v>2.8</v>
      </c>
      <c r="E64" s="23">
        <v>1.9</v>
      </c>
      <c r="F64" s="24"/>
      <c r="G64" s="24"/>
    </row>
    <row r="65" spans="1:1" ht="18.75" thickTop="1" x14ac:dyDescent="0.25">
      <c r="A65" s="25"/>
    </row>
    <row r="66" spans="1:1" ht="18" x14ac:dyDescent="0.25">
      <c r="A66" s="25" t="s">
        <v>42</v>
      </c>
    </row>
    <row r="67" spans="1:1" ht="18" x14ac:dyDescent="0.25">
      <c r="A67" s="25" t="s">
        <v>138</v>
      </c>
    </row>
    <row r="68" spans="1:1" ht="18" x14ac:dyDescent="0.25">
      <c r="A68" s="25" t="s">
        <v>115</v>
      </c>
    </row>
    <row r="74" spans="1:1" ht="15.75" x14ac:dyDescent="0.3">
      <c r="A74" s="26"/>
    </row>
    <row r="76" spans="1:1" x14ac:dyDescent="0.25">
      <c r="A76" s="27"/>
    </row>
  </sheetData>
  <mergeCells count="5">
    <mergeCell ref="A1:G1"/>
    <mergeCell ref="A2:A3"/>
    <mergeCell ref="B2:C2"/>
    <mergeCell ref="D2:E2"/>
    <mergeCell ref="F2:G2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headerFooter>
    <oddHeader>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opLeftCell="A15" zoomScale="50" zoomScaleNormal="50" workbookViewId="0">
      <selection activeCell="C42" sqref="C42"/>
    </sheetView>
  </sheetViews>
  <sheetFormatPr defaultColWidth="13.140625" defaultRowHeight="15" x14ac:dyDescent="0.25"/>
  <cols>
    <col min="1" max="1" width="97.7109375" style="1" customWidth="1"/>
    <col min="2" max="2" width="23.7109375" style="1" customWidth="1"/>
    <col min="3" max="3" width="33.140625" style="1" customWidth="1"/>
    <col min="4" max="4" width="24.42578125" style="1" customWidth="1"/>
    <col min="5" max="5" width="34.5703125" style="1" customWidth="1"/>
    <col min="6" max="6" width="23.28515625" style="1" customWidth="1"/>
    <col min="7" max="7" width="34.140625" style="1" customWidth="1"/>
    <col min="8" max="16384" width="13.140625" style="1"/>
  </cols>
  <sheetData>
    <row r="1" spans="1:7" ht="36" customHeight="1" thickBot="1" x14ac:dyDescent="0.3">
      <c r="A1" s="36" t="s">
        <v>21</v>
      </c>
      <c r="B1" s="36"/>
      <c r="C1" s="36"/>
      <c r="D1" s="36"/>
      <c r="E1" s="36"/>
      <c r="F1" s="36"/>
      <c r="G1" s="36"/>
    </row>
    <row r="2" spans="1:7" ht="36" customHeight="1" thickTop="1" x14ac:dyDescent="0.25">
      <c r="A2" s="37" t="s">
        <v>0</v>
      </c>
      <c r="B2" s="37" t="s">
        <v>1</v>
      </c>
      <c r="C2" s="37"/>
      <c r="D2" s="37" t="s">
        <v>22</v>
      </c>
      <c r="E2" s="37"/>
      <c r="F2" s="39" t="s">
        <v>29</v>
      </c>
      <c r="G2" s="39"/>
    </row>
    <row r="3" spans="1:7" ht="41.25" thickBot="1" x14ac:dyDescent="0.3">
      <c r="A3" s="38"/>
      <c r="B3" s="2" t="s">
        <v>33</v>
      </c>
      <c r="C3" s="2" t="s">
        <v>48</v>
      </c>
      <c r="D3" s="2" t="s">
        <v>33</v>
      </c>
      <c r="E3" s="2" t="s">
        <v>48</v>
      </c>
      <c r="F3" s="2" t="s">
        <v>33</v>
      </c>
      <c r="G3" s="2" t="s">
        <v>48</v>
      </c>
    </row>
    <row r="4" spans="1:7" ht="64.5" customHeight="1" thickTop="1" x14ac:dyDescent="0.3">
      <c r="A4" s="3" t="s">
        <v>20</v>
      </c>
      <c r="B4" s="4" t="s">
        <v>60</v>
      </c>
      <c r="C4" s="4"/>
      <c r="D4" s="4">
        <v>878.02359999999999</v>
      </c>
      <c r="E4" s="4" t="s">
        <v>51</v>
      </c>
      <c r="F4" s="5">
        <v>2.7</v>
      </c>
      <c r="G4" s="5"/>
    </row>
    <row r="5" spans="1:7" ht="20.25" x14ac:dyDescent="0.3">
      <c r="A5" s="6" t="s">
        <v>2</v>
      </c>
      <c r="B5" s="7" t="s">
        <v>56</v>
      </c>
      <c r="C5" s="7" t="s">
        <v>59</v>
      </c>
      <c r="D5" s="7">
        <v>95.8</v>
      </c>
      <c r="E5" s="7" t="s">
        <v>52</v>
      </c>
      <c r="F5" s="8"/>
      <c r="G5" s="8"/>
    </row>
    <row r="6" spans="1:7" ht="20.25" x14ac:dyDescent="0.3">
      <c r="A6" s="9"/>
      <c r="B6" s="7"/>
      <c r="C6" s="7"/>
      <c r="D6" s="7"/>
      <c r="E6" s="7"/>
      <c r="F6" s="8"/>
      <c r="G6" s="8"/>
    </row>
    <row r="7" spans="1:7" ht="45" customHeight="1" x14ac:dyDescent="0.3">
      <c r="A7" s="10" t="s">
        <v>30</v>
      </c>
      <c r="B7" s="7">
        <v>108.8</v>
      </c>
      <c r="C7" s="7">
        <v>102.5</v>
      </c>
      <c r="D7" s="7">
        <v>107.5</v>
      </c>
      <c r="E7" s="7">
        <v>102.8</v>
      </c>
      <c r="F7" s="8"/>
      <c r="G7" s="8"/>
    </row>
    <row r="8" spans="1:7" ht="20.25" x14ac:dyDescent="0.3">
      <c r="A8" s="11" t="s">
        <v>23</v>
      </c>
      <c r="B8" s="7">
        <v>106.1</v>
      </c>
      <c r="C8" s="7">
        <v>102.7</v>
      </c>
      <c r="D8" s="7">
        <v>104.4</v>
      </c>
      <c r="E8" s="7">
        <v>102.6</v>
      </c>
      <c r="F8" s="8"/>
      <c r="G8" s="8"/>
    </row>
    <row r="9" spans="1:7" ht="20.25" x14ac:dyDescent="0.3">
      <c r="A9" s="11" t="s">
        <v>24</v>
      </c>
      <c r="B9" s="7">
        <v>109.7</v>
      </c>
      <c r="C9" s="7">
        <v>100.5</v>
      </c>
      <c r="D9" s="7">
        <v>109.1</v>
      </c>
      <c r="E9" s="7">
        <v>100.7</v>
      </c>
      <c r="F9" s="8"/>
      <c r="G9" s="8"/>
    </row>
    <row r="10" spans="1:7" ht="20.25" x14ac:dyDescent="0.3">
      <c r="A10" s="11" t="s">
        <v>25</v>
      </c>
      <c r="B10" s="7">
        <v>111.6</v>
      </c>
      <c r="C10" s="7">
        <v>105</v>
      </c>
      <c r="D10" s="7">
        <v>109.5</v>
      </c>
      <c r="E10" s="7">
        <v>105.8</v>
      </c>
      <c r="F10" s="8"/>
      <c r="G10" s="8"/>
    </row>
    <row r="11" spans="1:7" ht="20.25" x14ac:dyDescent="0.3">
      <c r="A11" s="12"/>
      <c r="B11" s="7"/>
      <c r="C11" s="7"/>
      <c r="D11" s="7"/>
      <c r="E11" s="7"/>
      <c r="F11" s="8"/>
      <c r="G11" s="8"/>
    </row>
    <row r="12" spans="1:7" ht="60.75" x14ac:dyDescent="0.3">
      <c r="A12" s="13" t="s">
        <v>31</v>
      </c>
      <c r="B12" s="7">
        <v>21483.9</v>
      </c>
      <c r="C12" s="7">
        <f>1764.6+1825.9</f>
        <v>3590.5</v>
      </c>
      <c r="D12" s="7">
        <v>859.01610000000005</v>
      </c>
      <c r="E12" s="7">
        <v>142.6</v>
      </c>
      <c r="F12" s="8">
        <f>D12/B12*100</f>
        <v>3.998417885020876</v>
      </c>
      <c r="G12" s="8">
        <f>E12/C12*100</f>
        <v>3.9715917003202894</v>
      </c>
    </row>
    <row r="13" spans="1:7" ht="20.25" x14ac:dyDescent="0.3">
      <c r="A13" s="12"/>
      <c r="B13" s="7"/>
      <c r="C13" s="7"/>
      <c r="D13" s="7"/>
      <c r="E13" s="7"/>
      <c r="F13" s="8"/>
      <c r="G13" s="8"/>
    </row>
    <row r="14" spans="1:7" ht="45" customHeight="1" x14ac:dyDescent="0.3">
      <c r="A14" s="14" t="s">
        <v>32</v>
      </c>
      <c r="B14" s="7">
        <v>89.2</v>
      </c>
      <c r="C14" s="7">
        <v>105.8</v>
      </c>
      <c r="D14" s="7">
        <v>92.3</v>
      </c>
      <c r="E14" s="7">
        <v>109.6</v>
      </c>
      <c r="F14" s="8"/>
      <c r="G14" s="8"/>
    </row>
    <row r="15" spans="1:7" ht="20.25" x14ac:dyDescent="0.3">
      <c r="A15" s="11" t="s">
        <v>26</v>
      </c>
      <c r="B15" s="7">
        <v>98.8</v>
      </c>
      <c r="C15" s="7">
        <v>106.7</v>
      </c>
      <c r="D15" s="7">
        <v>100.6</v>
      </c>
      <c r="E15" s="7">
        <v>100.5</v>
      </c>
      <c r="F15" s="8"/>
      <c r="G15" s="8"/>
    </row>
    <row r="16" spans="1:7" ht="20.25" x14ac:dyDescent="0.3">
      <c r="A16" s="11" t="s">
        <v>27</v>
      </c>
      <c r="B16" s="7">
        <v>84</v>
      </c>
      <c r="C16" s="7">
        <v>105.2</v>
      </c>
      <c r="D16" s="7">
        <v>86.8</v>
      </c>
      <c r="E16" s="7">
        <v>118.4</v>
      </c>
      <c r="F16" s="8"/>
      <c r="G16" s="8"/>
    </row>
    <row r="17" spans="1:13" ht="40.5" x14ac:dyDescent="0.3">
      <c r="A17" s="11" t="s">
        <v>28</v>
      </c>
      <c r="B17" s="7">
        <v>95.2</v>
      </c>
      <c r="C17" s="7">
        <v>108.1</v>
      </c>
      <c r="D17" s="7">
        <v>90.5</v>
      </c>
      <c r="E17" s="7">
        <v>118.5</v>
      </c>
      <c r="F17" s="8"/>
      <c r="G17" s="8"/>
    </row>
    <row r="18" spans="1:13" ht="20.25" x14ac:dyDescent="0.3">
      <c r="A18" s="14"/>
      <c r="B18" s="7"/>
      <c r="C18" s="7"/>
      <c r="D18" s="7"/>
      <c r="E18" s="7"/>
      <c r="F18" s="8"/>
      <c r="G18" s="8"/>
    </row>
    <row r="19" spans="1:13" ht="40.5" x14ac:dyDescent="0.3">
      <c r="A19" s="14" t="s">
        <v>34</v>
      </c>
      <c r="B19" s="7"/>
      <c r="C19" s="7"/>
      <c r="D19" s="7"/>
      <c r="E19" s="7"/>
      <c r="F19" s="8"/>
      <c r="G19" s="8"/>
    </row>
    <row r="20" spans="1:13" ht="20.25" x14ac:dyDescent="0.3">
      <c r="A20" s="11" t="s">
        <v>6</v>
      </c>
      <c r="B20" s="7">
        <v>494</v>
      </c>
      <c r="C20" s="7">
        <f>42.6+38.6</f>
        <v>81.2</v>
      </c>
      <c r="D20" s="7">
        <v>32.4</v>
      </c>
      <c r="E20" s="7">
        <v>5.2</v>
      </c>
      <c r="F20" s="8">
        <f>D20/B20*100</f>
        <v>6.5587044534412957</v>
      </c>
      <c r="G20" s="8">
        <f t="shared" ref="G20:G51" si="0">E20/C20*100</f>
        <v>6.403940886699508</v>
      </c>
      <c r="I20" s="4"/>
    </row>
    <row r="21" spans="1:13" ht="20.25" x14ac:dyDescent="0.3">
      <c r="A21" s="11" t="s">
        <v>7</v>
      </c>
      <c r="B21" s="7">
        <v>35800</v>
      </c>
      <c r="C21" s="7">
        <f>3000+2800</f>
        <v>5800</v>
      </c>
      <c r="D21" s="7">
        <v>618.4</v>
      </c>
      <c r="E21" s="7">
        <v>115.6</v>
      </c>
      <c r="F21" s="8">
        <f t="shared" ref="F21:F29" si="1">D21/B21*100</f>
        <v>1.7273743016759775</v>
      </c>
      <c r="G21" s="8">
        <f t="shared" si="0"/>
        <v>1.9931034482758618</v>
      </c>
      <c r="I21" s="4"/>
    </row>
    <row r="22" spans="1:13" ht="20.25" x14ac:dyDescent="0.3">
      <c r="A22" s="11" t="s">
        <v>8</v>
      </c>
      <c r="B22" s="7">
        <v>971</v>
      </c>
      <c r="C22" s="7">
        <f>91.2+90.1</f>
        <v>181.3</v>
      </c>
      <c r="D22" s="7">
        <v>407.3</v>
      </c>
      <c r="E22" s="7">
        <v>76</v>
      </c>
      <c r="F22" s="8">
        <f t="shared" si="1"/>
        <v>41.946446961894956</v>
      </c>
      <c r="G22" s="8">
        <f t="shared" si="0"/>
        <v>41.919470490899059</v>
      </c>
      <c r="I22" s="4"/>
    </row>
    <row r="23" spans="1:13" ht="20.25" x14ac:dyDescent="0.3">
      <c r="A23" s="11" t="s">
        <v>49</v>
      </c>
      <c r="B23" s="7">
        <v>1411</v>
      </c>
      <c r="C23" s="7">
        <f>137+131</f>
        <v>268</v>
      </c>
      <c r="D23" s="7">
        <v>731.9</v>
      </c>
      <c r="E23" s="7">
        <v>129</v>
      </c>
      <c r="F23" s="8">
        <f t="shared" si="1"/>
        <v>51.871013465627215</v>
      </c>
      <c r="G23" s="8">
        <f t="shared" si="0"/>
        <v>48.134328358208954</v>
      </c>
      <c r="I23" s="4"/>
      <c r="M23" s="15"/>
    </row>
    <row r="24" spans="1:13" ht="20.25" x14ac:dyDescent="0.3">
      <c r="A24" s="11" t="s">
        <v>40</v>
      </c>
      <c r="B24" s="7">
        <v>27.995000000000001</v>
      </c>
      <c r="C24" s="7">
        <f>1797.9+2584</f>
        <v>4381.8999999999996</v>
      </c>
      <c r="D24" s="7">
        <v>9.4</v>
      </c>
      <c r="E24" s="7">
        <v>1.53</v>
      </c>
      <c r="F24" s="8">
        <f t="shared" si="1"/>
        <v>33.577424540096445</v>
      </c>
      <c r="G24" s="8">
        <f t="shared" si="0"/>
        <v>3.491636048289555E-2</v>
      </c>
      <c r="I24" s="4"/>
      <c r="M24" s="15"/>
    </row>
    <row r="25" spans="1:13" ht="20.25" x14ac:dyDescent="0.3">
      <c r="A25" s="11" t="s">
        <v>10</v>
      </c>
      <c r="B25" s="7">
        <v>91.4</v>
      </c>
      <c r="C25" s="7">
        <f>3+8.9</f>
        <v>11.9</v>
      </c>
      <c r="D25" s="7">
        <v>27.9</v>
      </c>
      <c r="E25" s="7">
        <v>4.3600000000000003</v>
      </c>
      <c r="F25" s="8">
        <f t="shared" si="1"/>
        <v>30.525164113785554</v>
      </c>
      <c r="G25" s="8">
        <f t="shared" si="0"/>
        <v>36.638655462184879</v>
      </c>
      <c r="I25" s="4"/>
      <c r="M25" s="15"/>
    </row>
    <row r="26" spans="1:13" ht="20.25" x14ac:dyDescent="0.3">
      <c r="A26" s="11" t="s">
        <v>11</v>
      </c>
      <c r="B26" s="7">
        <v>597</v>
      </c>
      <c r="C26" s="7">
        <f>43.1+60.2</f>
        <v>103.30000000000001</v>
      </c>
      <c r="D26" s="7">
        <v>5.4</v>
      </c>
      <c r="E26" s="7">
        <v>0.30199999999999999</v>
      </c>
      <c r="F26" s="8">
        <f t="shared" si="1"/>
        <v>0.90452261306532677</v>
      </c>
      <c r="G26" s="8">
        <f t="shared" si="0"/>
        <v>0.29235237173281697</v>
      </c>
      <c r="I26" s="4"/>
    </row>
    <row r="27" spans="1:13" ht="20.25" x14ac:dyDescent="0.3">
      <c r="A27" s="11" t="s">
        <v>19</v>
      </c>
      <c r="B27" s="7">
        <v>3923</v>
      </c>
      <c r="C27" s="7">
        <f>365+347</f>
        <v>712</v>
      </c>
      <c r="D27" s="7">
        <v>56.7</v>
      </c>
      <c r="E27" s="7">
        <v>17.899999999999999</v>
      </c>
      <c r="F27" s="8">
        <f t="shared" si="1"/>
        <v>1.4453224573030843</v>
      </c>
      <c r="G27" s="8">
        <f t="shared" si="0"/>
        <v>2.5140449438202244</v>
      </c>
      <c r="I27" s="4"/>
      <c r="J27" s="16"/>
    </row>
    <row r="28" spans="1:13" ht="20.25" x14ac:dyDescent="0.3">
      <c r="A28" s="11" t="s">
        <v>18</v>
      </c>
      <c r="B28" s="7">
        <v>3450</v>
      </c>
      <c r="C28" s="7">
        <f>251+241</f>
        <v>492</v>
      </c>
      <c r="D28" s="7">
        <v>153.9</v>
      </c>
      <c r="E28" s="7">
        <v>15</v>
      </c>
      <c r="F28" s="8">
        <f t="shared" si="1"/>
        <v>4.4608695652173918</v>
      </c>
      <c r="G28" s="8">
        <f t="shared" si="0"/>
        <v>3.0487804878048781</v>
      </c>
      <c r="I28" s="4"/>
      <c r="J28" s="16"/>
    </row>
    <row r="29" spans="1:13" ht="20.25" x14ac:dyDescent="0.3">
      <c r="A29" s="11" t="s">
        <v>12</v>
      </c>
      <c r="B29" s="7">
        <v>929</v>
      </c>
      <c r="C29" s="7">
        <f>62.4+80.4</f>
        <v>142.80000000000001</v>
      </c>
      <c r="D29" s="7">
        <v>112</v>
      </c>
      <c r="E29" s="7">
        <v>18.600000000000001</v>
      </c>
      <c r="F29" s="8">
        <f t="shared" si="1"/>
        <v>12.055974165769644</v>
      </c>
      <c r="G29" s="8">
        <f t="shared" si="0"/>
        <v>13.025210084033615</v>
      </c>
      <c r="I29" s="4"/>
    </row>
    <row r="30" spans="1:13" ht="20.25" x14ac:dyDescent="0.3">
      <c r="A30" s="14"/>
      <c r="B30" s="7"/>
      <c r="C30" s="7"/>
      <c r="D30" s="7"/>
      <c r="E30" s="7"/>
      <c r="F30" s="8"/>
      <c r="G30" s="8"/>
    </row>
    <row r="31" spans="1:13" ht="40.5" x14ac:dyDescent="0.3">
      <c r="A31" s="13" t="s">
        <v>35</v>
      </c>
      <c r="B31" s="7">
        <v>113.9</v>
      </c>
      <c r="C31" s="7">
        <v>101.2</v>
      </c>
      <c r="D31" s="7">
        <v>128.5</v>
      </c>
      <c r="E31" s="7">
        <v>95.3</v>
      </c>
      <c r="F31" s="8"/>
      <c r="G31" s="8"/>
    </row>
    <row r="32" spans="1:13" ht="20.25" x14ac:dyDescent="0.3">
      <c r="A32" s="13"/>
      <c r="B32" s="7"/>
      <c r="C32" s="7"/>
      <c r="D32" s="7"/>
      <c r="E32" s="7"/>
      <c r="F32" s="8"/>
      <c r="G32" s="8"/>
    </row>
    <row r="33" spans="1:7" ht="46.5" customHeight="1" x14ac:dyDescent="0.3">
      <c r="A33" s="17" t="s">
        <v>36</v>
      </c>
      <c r="B33" s="7">
        <v>2551.6999999999998</v>
      </c>
      <c r="C33" s="7">
        <v>152.4</v>
      </c>
      <c r="D33" s="7">
        <v>119.1283</v>
      </c>
      <c r="E33" s="7">
        <v>11.895300000000001</v>
      </c>
      <c r="F33" s="8">
        <f t="shared" ref="F33:F62" si="2">D33/B33*100</f>
        <v>4.6685856487831643</v>
      </c>
      <c r="G33" s="8">
        <f t="shared" si="0"/>
        <v>7.8053149606299206</v>
      </c>
    </row>
    <row r="34" spans="1:7" ht="20.25" x14ac:dyDescent="0.3">
      <c r="A34" s="6" t="s">
        <v>2</v>
      </c>
      <c r="B34" s="7">
        <v>101.2</v>
      </c>
      <c r="C34" s="7">
        <v>103.2</v>
      </c>
      <c r="D34" s="7">
        <v>100.1</v>
      </c>
      <c r="E34" s="7">
        <v>105.9</v>
      </c>
      <c r="F34" s="8"/>
      <c r="G34" s="8"/>
    </row>
    <row r="35" spans="1:7" ht="20.25" x14ac:dyDescent="0.3">
      <c r="A35" s="6"/>
      <c r="B35" s="7"/>
      <c r="C35" s="7"/>
      <c r="D35" s="7"/>
      <c r="E35" s="7"/>
      <c r="F35" s="8"/>
      <c r="G35" s="8"/>
    </row>
    <row r="36" spans="1:7" ht="49.5" customHeight="1" x14ac:dyDescent="0.3">
      <c r="A36" s="17" t="s">
        <v>37</v>
      </c>
      <c r="B36" s="7">
        <v>3869.1</v>
      </c>
      <c r="C36" s="7">
        <f>169.3+346.5</f>
        <v>515.79999999999995</v>
      </c>
      <c r="D36" s="7">
        <v>184.07130000000001</v>
      </c>
      <c r="E36" s="7">
        <v>11.861499999999999</v>
      </c>
      <c r="F36" s="8">
        <f t="shared" si="2"/>
        <v>4.7574707296270455</v>
      </c>
      <c r="G36" s="8">
        <f t="shared" si="0"/>
        <v>2.2996316401706087</v>
      </c>
    </row>
    <row r="37" spans="1:7" ht="20.25" x14ac:dyDescent="0.3">
      <c r="A37" s="6" t="s">
        <v>2</v>
      </c>
      <c r="B37" s="7">
        <v>84</v>
      </c>
      <c r="C37" s="7">
        <v>89.7</v>
      </c>
      <c r="D37" s="7">
        <v>104.5</v>
      </c>
      <c r="E37" s="7">
        <v>104.6</v>
      </c>
      <c r="F37" s="8"/>
      <c r="G37" s="8"/>
    </row>
    <row r="38" spans="1:7" ht="20.25" x14ac:dyDescent="0.3">
      <c r="A38" s="9"/>
      <c r="B38" s="7"/>
      <c r="C38" s="7"/>
      <c r="D38" s="7"/>
      <c r="E38" s="7"/>
      <c r="F38" s="8"/>
      <c r="G38" s="8"/>
    </row>
    <row r="39" spans="1:7" ht="20.25" x14ac:dyDescent="0.3">
      <c r="A39" s="17" t="s">
        <v>38</v>
      </c>
      <c r="B39" s="7">
        <v>180.1</v>
      </c>
      <c r="C39" s="7">
        <f>12.4+13.1</f>
        <v>25.5</v>
      </c>
      <c r="D39" s="7">
        <v>2.3668</v>
      </c>
      <c r="E39" s="7">
        <v>0.46589999999999998</v>
      </c>
      <c r="F39" s="8">
        <f t="shared" si="2"/>
        <v>1.3141588006662965</v>
      </c>
      <c r="G39" s="8">
        <f t="shared" si="0"/>
        <v>1.8270588235294118</v>
      </c>
    </row>
    <row r="40" spans="1:7" ht="20.25" x14ac:dyDescent="0.3">
      <c r="A40" s="6" t="s">
        <v>2</v>
      </c>
      <c r="B40" s="7">
        <v>83.3</v>
      </c>
      <c r="C40" s="7">
        <v>101.9</v>
      </c>
      <c r="D40" s="7">
        <v>89.8</v>
      </c>
      <c r="E40" s="7">
        <v>94.8</v>
      </c>
      <c r="F40" s="8"/>
      <c r="G40" s="8"/>
    </row>
    <row r="41" spans="1:7" ht="20.25" x14ac:dyDescent="0.3">
      <c r="A41" s="9"/>
      <c r="B41" s="19"/>
      <c r="C41" s="19"/>
      <c r="D41" s="18"/>
      <c r="E41" s="18"/>
      <c r="F41" s="8"/>
      <c r="G41" s="8"/>
    </row>
    <row r="42" spans="1:7" ht="60.75" x14ac:dyDescent="0.3">
      <c r="A42" s="13" t="s">
        <v>58</v>
      </c>
      <c r="B42" s="7" t="s">
        <v>41</v>
      </c>
      <c r="C42" s="7">
        <f>319.2+418.7</f>
        <v>737.9</v>
      </c>
      <c r="D42" s="7">
        <v>267.8</v>
      </c>
      <c r="E42" s="7"/>
      <c r="F42" s="8">
        <f>D42/7539.9*100</f>
        <v>3.5517712436504465</v>
      </c>
      <c r="G42" s="8"/>
    </row>
    <row r="43" spans="1:7" ht="20.25" x14ac:dyDescent="0.3">
      <c r="A43" s="20" t="s">
        <v>2</v>
      </c>
      <c r="B43" s="7">
        <v>83</v>
      </c>
      <c r="C43" s="7">
        <v>92</v>
      </c>
      <c r="D43" s="7">
        <v>93.3</v>
      </c>
      <c r="E43" s="7"/>
      <c r="F43" s="8"/>
      <c r="G43" s="8"/>
    </row>
    <row r="44" spans="1:7" ht="20.25" x14ac:dyDescent="0.3">
      <c r="A44" s="12"/>
      <c r="B44" s="7"/>
      <c r="C44" s="7"/>
      <c r="D44" s="7"/>
      <c r="E44" s="7"/>
      <c r="F44" s="8"/>
      <c r="G44" s="8"/>
    </row>
    <row r="45" spans="1:7" ht="40.5" x14ac:dyDescent="0.3">
      <c r="A45" s="21" t="s">
        <v>14</v>
      </c>
      <c r="B45" s="7">
        <v>59800</v>
      </c>
      <c r="C45" s="7">
        <v>6000</v>
      </c>
      <c r="D45" s="7">
        <v>2010.2</v>
      </c>
      <c r="E45" s="7">
        <v>379.2</v>
      </c>
      <c r="F45" s="8">
        <f t="shared" si="2"/>
        <v>3.3615384615384616</v>
      </c>
      <c r="G45" s="8">
        <f t="shared" si="0"/>
        <v>6.3199999999999994</v>
      </c>
    </row>
    <row r="46" spans="1:7" ht="20.25" x14ac:dyDescent="0.3">
      <c r="A46" s="6" t="s">
        <v>3</v>
      </c>
      <c r="B46" s="7">
        <v>93.3</v>
      </c>
      <c r="C46" s="7">
        <v>101.3</v>
      </c>
      <c r="D46" s="7">
        <v>90.4</v>
      </c>
      <c r="E46" s="7">
        <v>84.4</v>
      </c>
      <c r="F46" s="8"/>
      <c r="G46" s="8"/>
    </row>
    <row r="47" spans="1:7" ht="20.25" x14ac:dyDescent="0.3">
      <c r="A47" s="9"/>
      <c r="B47" s="7"/>
      <c r="C47" s="7"/>
      <c r="D47" s="7"/>
      <c r="E47" s="7"/>
      <c r="F47" s="8"/>
      <c r="G47" s="8"/>
    </row>
    <row r="48" spans="1:7" ht="40.5" x14ac:dyDescent="0.3">
      <c r="A48" s="13" t="s">
        <v>15</v>
      </c>
      <c r="B48" s="7">
        <v>14516.9</v>
      </c>
      <c r="C48" s="7">
        <v>2340</v>
      </c>
      <c r="D48" s="7">
        <v>393.90359999999998</v>
      </c>
      <c r="E48" s="7">
        <v>65.949100000000001</v>
      </c>
      <c r="F48" s="8">
        <f t="shared" si="2"/>
        <v>2.713414020899779</v>
      </c>
      <c r="G48" s="8">
        <f t="shared" si="0"/>
        <v>2.8183376068376069</v>
      </c>
    </row>
    <row r="49" spans="1:7" ht="20.25" x14ac:dyDescent="0.3">
      <c r="A49" s="6" t="s">
        <v>2</v>
      </c>
      <c r="B49" s="7">
        <v>94.5</v>
      </c>
      <c r="C49" s="7">
        <v>100.8</v>
      </c>
      <c r="D49" s="7">
        <v>97.9</v>
      </c>
      <c r="E49" s="7">
        <v>104.6</v>
      </c>
      <c r="F49" s="8"/>
      <c r="G49" s="8"/>
    </row>
    <row r="50" spans="1:7" ht="20.25" x14ac:dyDescent="0.3">
      <c r="A50" s="9"/>
      <c r="B50" s="18"/>
      <c r="C50" s="18"/>
      <c r="D50" s="7"/>
      <c r="E50" s="7"/>
      <c r="F50" s="8"/>
      <c r="G50" s="8"/>
    </row>
    <row r="51" spans="1:7" ht="43.5" customHeight="1" x14ac:dyDescent="0.3">
      <c r="A51" s="13" t="s">
        <v>16</v>
      </c>
      <c r="B51" s="7">
        <v>4413.7</v>
      </c>
      <c r="C51" s="7">
        <f>358.3+367.2</f>
        <v>725.5</v>
      </c>
      <c r="D51" s="7">
        <v>128.7988</v>
      </c>
      <c r="E51" s="7">
        <v>23.5885</v>
      </c>
      <c r="F51" s="8">
        <f t="shared" si="2"/>
        <v>2.9181593674241566</v>
      </c>
      <c r="G51" s="8">
        <f t="shared" si="0"/>
        <v>3.2513439007580978</v>
      </c>
    </row>
    <row r="52" spans="1:7" ht="20.25" x14ac:dyDescent="0.3">
      <c r="A52" s="6" t="s">
        <v>2</v>
      </c>
      <c r="B52" s="7">
        <v>95.7</v>
      </c>
      <c r="C52" s="7">
        <v>98.7</v>
      </c>
      <c r="D52" s="7">
        <v>94.8</v>
      </c>
      <c r="E52" s="7">
        <v>100.5</v>
      </c>
      <c r="F52" s="8"/>
      <c r="G52" s="8"/>
    </row>
    <row r="53" spans="1:7" ht="20.25" x14ac:dyDescent="0.3">
      <c r="A53" s="9"/>
      <c r="B53" s="7"/>
      <c r="C53" s="7"/>
      <c r="D53" s="7"/>
      <c r="E53" s="7"/>
      <c r="F53" s="8"/>
      <c r="G53" s="8"/>
    </row>
    <row r="54" spans="1:7" ht="45" customHeight="1" x14ac:dyDescent="0.3">
      <c r="A54" s="13" t="s">
        <v>5</v>
      </c>
      <c r="B54" s="7">
        <v>97.2</v>
      </c>
      <c r="C54" s="7">
        <v>102</v>
      </c>
      <c r="D54" s="7">
        <v>93.2</v>
      </c>
      <c r="E54" s="7" t="s">
        <v>55</v>
      </c>
      <c r="F54" s="8"/>
      <c r="G54" s="8"/>
    </row>
    <row r="55" spans="1:7" ht="20.25" x14ac:dyDescent="0.3">
      <c r="A55" s="13"/>
      <c r="B55" s="7"/>
      <c r="C55" s="7"/>
      <c r="D55" s="7"/>
      <c r="E55" s="7"/>
      <c r="F55" s="8"/>
      <c r="G55" s="8"/>
    </row>
    <row r="56" spans="1:7" ht="45" customHeight="1" x14ac:dyDescent="0.3">
      <c r="A56" s="13" t="s">
        <v>17</v>
      </c>
      <c r="B56" s="7">
        <v>18785</v>
      </c>
      <c r="C56" s="7">
        <v>19033</v>
      </c>
      <c r="D56" s="7">
        <v>15208</v>
      </c>
      <c r="E56" s="7" t="s">
        <v>53</v>
      </c>
      <c r="F56" s="8">
        <f>D56/B56*100</f>
        <v>80.958211338834175</v>
      </c>
      <c r="G56" s="8"/>
    </row>
    <row r="57" spans="1:7" ht="20.25" x14ac:dyDescent="0.3">
      <c r="A57" s="6" t="s">
        <v>3</v>
      </c>
      <c r="B57" s="7">
        <v>108.5</v>
      </c>
      <c r="C57" s="7">
        <v>109.8</v>
      </c>
      <c r="D57" s="7">
        <v>102.4</v>
      </c>
      <c r="E57" s="7" t="s">
        <v>54</v>
      </c>
      <c r="F57" s="8"/>
      <c r="G57" s="8"/>
    </row>
    <row r="58" spans="1:7" ht="20.25" x14ac:dyDescent="0.3">
      <c r="A58" s="9"/>
      <c r="B58" s="7"/>
      <c r="C58" s="7"/>
      <c r="D58" s="7"/>
      <c r="E58" s="7"/>
      <c r="F58" s="8"/>
      <c r="G58" s="8"/>
    </row>
    <row r="59" spans="1:7" ht="23.25" customHeight="1" x14ac:dyDescent="0.3">
      <c r="A59" s="13" t="s">
        <v>4</v>
      </c>
      <c r="B59" s="7">
        <v>16818</v>
      </c>
      <c r="C59" s="7">
        <v>16440</v>
      </c>
      <c r="D59" s="7">
        <v>15522.7</v>
      </c>
      <c r="E59" s="7">
        <v>15036</v>
      </c>
      <c r="F59" s="8">
        <f>D59/B59*100</f>
        <v>92.298132952788677</v>
      </c>
      <c r="G59" s="8"/>
    </row>
    <row r="60" spans="1:7" ht="20.25" x14ac:dyDescent="0.3">
      <c r="A60" s="6" t="s">
        <v>3</v>
      </c>
      <c r="B60" s="7">
        <v>112.6</v>
      </c>
      <c r="C60" s="7">
        <v>114.5</v>
      </c>
      <c r="D60" s="7">
        <v>109.5</v>
      </c>
      <c r="E60" s="7">
        <v>115.9</v>
      </c>
      <c r="F60" s="8"/>
      <c r="G60" s="8"/>
    </row>
    <row r="61" spans="1:7" ht="20.25" x14ac:dyDescent="0.3">
      <c r="A61" s="9"/>
      <c r="B61" s="7"/>
      <c r="C61" s="7"/>
      <c r="D61" s="7"/>
      <c r="E61" s="7"/>
      <c r="F61" s="8"/>
      <c r="G61" s="8"/>
    </row>
    <row r="62" spans="1:7" ht="41.25" thickBot="1" x14ac:dyDescent="0.35">
      <c r="A62" s="22" t="s">
        <v>39</v>
      </c>
      <c r="B62" s="23">
        <v>2.76</v>
      </c>
      <c r="C62" s="23">
        <v>3.08</v>
      </c>
      <c r="D62" s="23">
        <v>2.8</v>
      </c>
      <c r="E62" s="23">
        <v>3.4</v>
      </c>
      <c r="F62" s="24">
        <f t="shared" si="2"/>
        <v>101.44927536231884</v>
      </c>
      <c r="G62" s="24"/>
    </row>
    <row r="63" spans="1:7" ht="18.75" thickTop="1" x14ac:dyDescent="0.25">
      <c r="A63" s="25"/>
    </row>
    <row r="64" spans="1:7" ht="18" x14ac:dyDescent="0.25">
      <c r="A64" s="25" t="s">
        <v>50</v>
      </c>
    </row>
    <row r="65" spans="1:1" ht="18" x14ac:dyDescent="0.25">
      <c r="A65" s="25" t="s">
        <v>47</v>
      </c>
    </row>
    <row r="66" spans="1:1" ht="18" x14ac:dyDescent="0.25">
      <c r="A66" s="25" t="s">
        <v>57</v>
      </c>
    </row>
    <row r="72" spans="1:1" ht="15.75" x14ac:dyDescent="0.3">
      <c r="A72" s="26"/>
    </row>
    <row r="74" spans="1:1" x14ac:dyDescent="0.25">
      <c r="A74" s="27"/>
    </row>
  </sheetData>
  <mergeCells count="5">
    <mergeCell ref="A1:G1"/>
    <mergeCell ref="A2:A3"/>
    <mergeCell ref="B2:C2"/>
    <mergeCell ref="D2:E2"/>
    <mergeCell ref="F2:G2"/>
  </mergeCells>
  <pageMargins left="0.70866141732283472" right="0.70866141732283472" top="0.74803149606299213" bottom="0.74803149606299213" header="0.31496062992125984" footer="0.31496062992125984"/>
  <pageSetup paperSize="9" scale="4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opLeftCell="A4" zoomScale="50" zoomScaleNormal="50" workbookViewId="0">
      <selection activeCell="C20" sqref="C20:C29"/>
    </sheetView>
  </sheetViews>
  <sheetFormatPr defaultColWidth="13.140625" defaultRowHeight="15" x14ac:dyDescent="0.25"/>
  <cols>
    <col min="1" max="1" width="97.7109375" style="1" customWidth="1"/>
    <col min="2" max="2" width="23.7109375" style="1" customWidth="1"/>
    <col min="3" max="3" width="33.140625" style="1" customWidth="1"/>
    <col min="4" max="4" width="24.42578125" style="1" customWidth="1"/>
    <col min="5" max="5" width="34.5703125" style="1" customWidth="1"/>
    <col min="6" max="6" width="23.28515625" style="1" customWidth="1"/>
    <col min="7" max="7" width="28.7109375" style="1" customWidth="1"/>
    <col min="8" max="16384" width="13.140625" style="1"/>
  </cols>
  <sheetData>
    <row r="1" spans="1:7" ht="27" thickBot="1" x14ac:dyDescent="0.3">
      <c r="A1" s="36" t="s">
        <v>21</v>
      </c>
      <c r="B1" s="36"/>
      <c r="C1" s="36"/>
      <c r="D1" s="36"/>
      <c r="E1" s="36"/>
      <c r="F1" s="36"/>
      <c r="G1" s="36"/>
    </row>
    <row r="2" spans="1:7" ht="21" thickTop="1" x14ac:dyDescent="0.25">
      <c r="A2" s="37" t="s">
        <v>0</v>
      </c>
      <c r="B2" s="37" t="s">
        <v>1</v>
      </c>
      <c r="C2" s="37"/>
      <c r="D2" s="37" t="s">
        <v>22</v>
      </c>
      <c r="E2" s="37"/>
      <c r="F2" s="39" t="s">
        <v>29</v>
      </c>
      <c r="G2" s="39"/>
    </row>
    <row r="3" spans="1:7" ht="41.25" thickBot="1" x14ac:dyDescent="0.3">
      <c r="A3" s="38"/>
      <c r="B3" s="2" t="s">
        <v>33</v>
      </c>
      <c r="C3" s="2" t="s">
        <v>61</v>
      </c>
      <c r="D3" s="2" t="s">
        <v>33</v>
      </c>
      <c r="E3" s="2" t="s">
        <v>61</v>
      </c>
      <c r="F3" s="2" t="s">
        <v>33</v>
      </c>
      <c r="G3" s="2" t="s">
        <v>62</v>
      </c>
    </row>
    <row r="4" spans="1:7" ht="41.25" thickTop="1" x14ac:dyDescent="0.3">
      <c r="A4" s="3" t="s">
        <v>20</v>
      </c>
      <c r="B4" s="4" t="s">
        <v>66</v>
      </c>
      <c r="C4" s="4"/>
      <c r="D4" s="4">
        <v>878.02359999999999</v>
      </c>
      <c r="E4" s="4" t="s">
        <v>68</v>
      </c>
      <c r="F4" s="5">
        <v>2.7</v>
      </c>
      <c r="G4" s="5"/>
    </row>
    <row r="5" spans="1:7" ht="20.25" x14ac:dyDescent="0.3">
      <c r="A5" s="6" t="s">
        <v>2</v>
      </c>
      <c r="B5" s="7" t="s">
        <v>44</v>
      </c>
      <c r="C5" s="7" t="s">
        <v>59</v>
      </c>
      <c r="D5" s="7">
        <v>95.8</v>
      </c>
      <c r="E5" s="7" t="s">
        <v>69</v>
      </c>
      <c r="F5" s="8"/>
      <c r="G5" s="8"/>
    </row>
    <row r="6" spans="1:7" ht="20.25" x14ac:dyDescent="0.3">
      <c r="A6" s="9"/>
      <c r="B6" s="7"/>
      <c r="C6" s="7"/>
      <c r="D6" s="7"/>
      <c r="E6" s="7"/>
      <c r="F6" s="8"/>
      <c r="G6" s="8"/>
    </row>
    <row r="7" spans="1:7" ht="40.5" x14ac:dyDescent="0.3">
      <c r="A7" s="10" t="s">
        <v>30</v>
      </c>
      <c r="B7" s="7">
        <v>108.8</v>
      </c>
      <c r="C7" s="7">
        <v>103.2</v>
      </c>
      <c r="D7" s="7">
        <v>107.5</v>
      </c>
      <c r="E7" s="7">
        <v>103.2</v>
      </c>
      <c r="F7" s="8"/>
      <c r="G7" s="8"/>
    </row>
    <row r="8" spans="1:7" ht="20.25" x14ac:dyDescent="0.3">
      <c r="A8" s="11" t="s">
        <v>23</v>
      </c>
      <c r="B8" s="7">
        <v>106.1</v>
      </c>
      <c r="C8" s="7">
        <v>103.8</v>
      </c>
      <c r="D8" s="7">
        <v>104.4</v>
      </c>
      <c r="E8" s="7">
        <v>103</v>
      </c>
      <c r="F8" s="8"/>
      <c r="G8" s="8"/>
    </row>
    <row r="9" spans="1:7" ht="20.25" x14ac:dyDescent="0.3">
      <c r="A9" s="11" t="s">
        <v>24</v>
      </c>
      <c r="B9" s="7">
        <v>109.7</v>
      </c>
      <c r="C9" s="7">
        <v>100.9</v>
      </c>
      <c r="D9" s="7">
        <v>109.1</v>
      </c>
      <c r="E9" s="7">
        <v>101.3</v>
      </c>
      <c r="F9" s="8"/>
      <c r="G9" s="8"/>
    </row>
    <row r="10" spans="1:7" ht="20.25" x14ac:dyDescent="0.3">
      <c r="A10" s="11" t="s">
        <v>25</v>
      </c>
      <c r="B10" s="7">
        <v>111.6</v>
      </c>
      <c r="C10" s="7">
        <v>105.4</v>
      </c>
      <c r="D10" s="7">
        <v>109.5</v>
      </c>
      <c r="E10" s="7">
        <v>105.8</v>
      </c>
      <c r="F10" s="8"/>
      <c r="G10" s="8"/>
    </row>
    <row r="11" spans="1:7" ht="20.25" x14ac:dyDescent="0.3">
      <c r="A11" s="12"/>
      <c r="B11" s="7"/>
      <c r="C11" s="7"/>
      <c r="D11" s="7"/>
      <c r="E11" s="7"/>
      <c r="F11" s="8"/>
      <c r="G11" s="8"/>
    </row>
    <row r="12" spans="1:7" ht="60.75" x14ac:dyDescent="0.3">
      <c r="A12" s="13" t="s">
        <v>31</v>
      </c>
      <c r="B12" s="7">
        <v>21483.9</v>
      </c>
      <c r="C12" s="7">
        <f>1764.6+1825.9+2142.3</f>
        <v>5732.8</v>
      </c>
      <c r="D12" s="7">
        <v>859.01610000000005</v>
      </c>
      <c r="E12" s="7">
        <v>228.71600000000001</v>
      </c>
      <c r="F12" s="8">
        <f>E12/C12*100</f>
        <v>3.989603684063634</v>
      </c>
      <c r="G12" s="8">
        <f>E12/C12*100</f>
        <v>3.989603684063634</v>
      </c>
    </row>
    <row r="13" spans="1:7" ht="20.25" x14ac:dyDescent="0.3">
      <c r="A13" s="12"/>
      <c r="B13" s="7"/>
      <c r="C13" s="7"/>
      <c r="D13" s="7"/>
      <c r="E13" s="7"/>
      <c r="F13" s="8"/>
      <c r="G13" s="8"/>
    </row>
    <row r="14" spans="1:7" ht="40.5" x14ac:dyDescent="0.3">
      <c r="A14" s="14" t="s">
        <v>32</v>
      </c>
      <c r="B14" s="7">
        <v>89.2</v>
      </c>
      <c r="C14" s="7">
        <v>105.8</v>
      </c>
      <c r="D14" s="7">
        <v>92.3</v>
      </c>
      <c r="E14" s="7">
        <v>108.8</v>
      </c>
      <c r="F14" s="8"/>
      <c r="G14" s="8"/>
    </row>
    <row r="15" spans="1:7" ht="45.75" customHeight="1" x14ac:dyDescent="0.3">
      <c r="A15" s="11" t="s">
        <v>26</v>
      </c>
      <c r="B15" s="7">
        <v>98.8</v>
      </c>
      <c r="C15" s="7">
        <v>106.7</v>
      </c>
      <c r="D15" s="7">
        <v>100.6</v>
      </c>
      <c r="E15" s="7">
        <v>100.3</v>
      </c>
      <c r="F15" s="8"/>
      <c r="G15" s="8"/>
    </row>
    <row r="16" spans="1:7" ht="20.25" x14ac:dyDescent="0.3">
      <c r="A16" s="11" t="s">
        <v>27</v>
      </c>
      <c r="B16" s="7">
        <v>84</v>
      </c>
      <c r="C16" s="7">
        <v>105.2</v>
      </c>
      <c r="D16" s="7">
        <v>86.8</v>
      </c>
      <c r="E16" s="7">
        <v>117.4</v>
      </c>
      <c r="F16" s="8"/>
      <c r="G16" s="8"/>
    </row>
    <row r="17" spans="1:13" ht="40.5" x14ac:dyDescent="0.3">
      <c r="A17" s="11" t="s">
        <v>28</v>
      </c>
      <c r="B17" s="7">
        <v>95.2</v>
      </c>
      <c r="C17" s="7">
        <v>107.1</v>
      </c>
      <c r="D17" s="7">
        <v>90.5</v>
      </c>
      <c r="E17" s="7">
        <v>111</v>
      </c>
      <c r="F17" s="8"/>
      <c r="G17" s="8"/>
    </row>
    <row r="18" spans="1:13" ht="20.25" x14ac:dyDescent="0.3">
      <c r="A18" s="14"/>
      <c r="B18" s="7"/>
      <c r="C18" s="7"/>
      <c r="D18" s="7"/>
      <c r="E18" s="7"/>
      <c r="F18" s="8"/>
      <c r="G18" s="8"/>
    </row>
    <row r="19" spans="1:13" ht="40.5" x14ac:dyDescent="0.3">
      <c r="A19" s="14" t="s">
        <v>34</v>
      </c>
      <c r="B19" s="7"/>
      <c r="C19" s="7"/>
      <c r="D19" s="7"/>
      <c r="E19" s="7"/>
      <c r="F19" s="8"/>
      <c r="G19" s="8"/>
    </row>
    <row r="20" spans="1:13" ht="23.25" x14ac:dyDescent="0.35">
      <c r="A20" s="11" t="s">
        <v>6</v>
      </c>
      <c r="B20" s="7">
        <v>494</v>
      </c>
      <c r="C20" s="7">
        <f>81.2+42.8</f>
        <v>124</v>
      </c>
      <c r="D20" s="7">
        <v>32.4</v>
      </c>
      <c r="E20" s="7">
        <v>8</v>
      </c>
      <c r="F20" s="8">
        <f>D20/B20*100</f>
        <v>6.5587044534412957</v>
      </c>
      <c r="G20" s="8">
        <f>E20/C20*100</f>
        <v>6.4516129032258061</v>
      </c>
      <c r="I20" s="4"/>
      <c r="J20" s="28"/>
    </row>
    <row r="21" spans="1:13" ht="20.25" x14ac:dyDescent="0.3">
      <c r="A21" s="11" t="s">
        <v>7</v>
      </c>
      <c r="B21" s="7">
        <v>35800</v>
      </c>
      <c r="C21" s="7">
        <f>3100+5800</f>
        <v>8900</v>
      </c>
      <c r="D21" s="7">
        <v>618.4</v>
      </c>
      <c r="E21" s="7">
        <v>175</v>
      </c>
      <c r="F21" s="8">
        <f t="shared" ref="F21:F29" si="0">D21/B21*100</f>
        <v>1.7273743016759775</v>
      </c>
      <c r="G21" s="8">
        <f t="shared" ref="G21:G29" si="1">E21/C21*100</f>
        <v>1.9662921348314606</v>
      </c>
      <c r="I21" s="4"/>
    </row>
    <row r="22" spans="1:13" ht="20.25" x14ac:dyDescent="0.3">
      <c r="A22" s="11" t="s">
        <v>8</v>
      </c>
      <c r="B22" s="7">
        <v>971</v>
      </c>
      <c r="C22" s="7">
        <f>101+181.3</f>
        <v>282.3</v>
      </c>
      <c r="D22" s="7">
        <v>407.3</v>
      </c>
      <c r="E22" s="7">
        <v>119</v>
      </c>
      <c r="F22" s="8">
        <f t="shared" si="0"/>
        <v>41.946446961894956</v>
      </c>
      <c r="G22" s="8">
        <f t="shared" si="1"/>
        <v>42.15373715905065</v>
      </c>
      <c r="I22" s="4"/>
    </row>
    <row r="23" spans="1:13" ht="20.25" x14ac:dyDescent="0.3">
      <c r="A23" s="11" t="s">
        <v>49</v>
      </c>
      <c r="B23" s="7">
        <v>1411</v>
      </c>
      <c r="C23" s="7">
        <f>158+268</f>
        <v>426</v>
      </c>
      <c r="D23" s="7">
        <v>731.9</v>
      </c>
      <c r="E23" s="7">
        <v>205.5</v>
      </c>
      <c r="F23" s="8">
        <f t="shared" si="0"/>
        <v>51.871013465627215</v>
      </c>
      <c r="G23" s="8">
        <f t="shared" si="1"/>
        <v>48.239436619718312</v>
      </c>
      <c r="I23" s="4"/>
      <c r="M23" s="15"/>
    </row>
    <row r="24" spans="1:13" ht="20.25" x14ac:dyDescent="0.3">
      <c r="A24" s="11" t="s">
        <v>40</v>
      </c>
      <c r="B24" s="7">
        <v>27.995000000000001</v>
      </c>
      <c r="C24" s="7">
        <v>7.4</v>
      </c>
      <c r="D24" s="7">
        <v>9.4</v>
      </c>
      <c r="E24" s="7">
        <v>2.5</v>
      </c>
      <c r="F24" s="8">
        <f t="shared" si="0"/>
        <v>33.577424540096445</v>
      </c>
      <c r="G24" s="8">
        <f t="shared" si="1"/>
        <v>33.783783783783782</v>
      </c>
      <c r="I24" s="4"/>
      <c r="M24" s="15"/>
    </row>
    <row r="25" spans="1:13" ht="20.25" x14ac:dyDescent="0.3">
      <c r="A25" s="11" t="s">
        <v>10</v>
      </c>
      <c r="B25" s="7">
        <v>91.4</v>
      </c>
      <c r="C25" s="7">
        <f>11.2+11.9</f>
        <v>23.1</v>
      </c>
      <c r="D25" s="7">
        <v>27.9</v>
      </c>
      <c r="E25" s="7">
        <v>7.3810000000000002</v>
      </c>
      <c r="F25" s="8">
        <f t="shared" si="0"/>
        <v>30.525164113785554</v>
      </c>
      <c r="G25" s="8">
        <f t="shared" si="1"/>
        <v>31.952380952380949</v>
      </c>
      <c r="I25" s="4"/>
      <c r="M25" s="15"/>
    </row>
    <row r="26" spans="1:13" ht="20.25" x14ac:dyDescent="0.3">
      <c r="A26" s="11" t="s">
        <v>11</v>
      </c>
      <c r="B26" s="7">
        <v>597</v>
      </c>
      <c r="C26" s="7">
        <f>85+103.3</f>
        <v>188.3</v>
      </c>
      <c r="D26" s="7">
        <v>5.4</v>
      </c>
      <c r="E26" s="7">
        <v>0.58599999999999997</v>
      </c>
      <c r="F26" s="8">
        <f t="shared" si="0"/>
        <v>0.90452261306532677</v>
      </c>
      <c r="G26" s="8">
        <f t="shared" si="1"/>
        <v>0.31120552310143385</v>
      </c>
      <c r="I26" s="4"/>
    </row>
    <row r="27" spans="1:13" ht="20.25" x14ac:dyDescent="0.3">
      <c r="A27" s="11" t="s">
        <v>19</v>
      </c>
      <c r="B27" s="7">
        <v>3923</v>
      </c>
      <c r="C27" s="7">
        <f>393+712</f>
        <v>1105</v>
      </c>
      <c r="D27" s="7">
        <v>56.7</v>
      </c>
      <c r="E27" s="7">
        <v>28.4</v>
      </c>
      <c r="F27" s="8">
        <f t="shared" si="0"/>
        <v>1.4453224573030843</v>
      </c>
      <c r="G27" s="8">
        <f t="shared" si="1"/>
        <v>2.570135746606335</v>
      </c>
    </row>
    <row r="28" spans="1:13" ht="20.25" x14ac:dyDescent="0.3">
      <c r="A28" s="11" t="s">
        <v>18</v>
      </c>
      <c r="B28" s="7">
        <v>3450</v>
      </c>
      <c r="C28" s="7">
        <f>271+492</f>
        <v>763</v>
      </c>
      <c r="D28" s="7">
        <v>153.9</v>
      </c>
      <c r="E28" s="7">
        <v>22.8</v>
      </c>
      <c r="F28" s="8">
        <f t="shared" si="0"/>
        <v>4.4608695652173918</v>
      </c>
      <c r="G28" s="8">
        <f t="shared" si="1"/>
        <v>2.9882044560943646</v>
      </c>
    </row>
    <row r="29" spans="1:13" ht="20.25" x14ac:dyDescent="0.3">
      <c r="A29" s="11" t="s">
        <v>12</v>
      </c>
      <c r="B29" s="7">
        <v>929</v>
      </c>
      <c r="C29" s="7">
        <f>85.6+142.8</f>
        <v>228.4</v>
      </c>
      <c r="D29" s="7">
        <v>112</v>
      </c>
      <c r="E29" s="7">
        <v>27.7</v>
      </c>
      <c r="F29" s="8">
        <f t="shared" si="0"/>
        <v>12.055974165769644</v>
      </c>
      <c r="G29" s="8">
        <f t="shared" si="1"/>
        <v>12.127845884413309</v>
      </c>
    </row>
    <row r="30" spans="1:13" ht="20.25" x14ac:dyDescent="0.3">
      <c r="A30" s="14"/>
      <c r="B30" s="7"/>
      <c r="C30" s="7"/>
      <c r="D30" s="7"/>
      <c r="E30" s="7"/>
      <c r="F30" s="8"/>
      <c r="G30" s="8"/>
    </row>
    <row r="31" spans="1:13" ht="40.5" x14ac:dyDescent="0.3">
      <c r="A31" s="13" t="s">
        <v>35</v>
      </c>
      <c r="B31" s="7">
        <v>113.9</v>
      </c>
      <c r="C31" s="7">
        <v>102.7</v>
      </c>
      <c r="D31" s="7">
        <v>128.5</v>
      </c>
      <c r="E31" s="7">
        <v>93.8</v>
      </c>
      <c r="F31" s="8"/>
      <c r="G31" s="8"/>
    </row>
    <row r="32" spans="1:13" ht="20.25" x14ac:dyDescent="0.3">
      <c r="A32" s="13"/>
      <c r="B32" s="7"/>
      <c r="C32" s="7"/>
      <c r="D32" s="7"/>
      <c r="E32" s="7"/>
      <c r="F32" s="8"/>
      <c r="G32" s="8"/>
    </row>
    <row r="33" spans="1:7" ht="40.5" x14ac:dyDescent="0.3">
      <c r="A33" s="17" t="s">
        <v>36</v>
      </c>
      <c r="B33" s="7">
        <v>2551.6999999999998</v>
      </c>
      <c r="C33" s="7">
        <v>266.5</v>
      </c>
      <c r="D33" s="7">
        <v>119.1283</v>
      </c>
      <c r="E33" s="7">
        <v>19</v>
      </c>
      <c r="F33" s="8">
        <f t="shared" ref="F33:F51" si="2">D33/B33*100</f>
        <v>4.6685856487831643</v>
      </c>
      <c r="G33" s="8">
        <f t="shared" ref="G33:G51" si="3">E33/C33*100</f>
        <v>7.1294559099437143</v>
      </c>
    </row>
    <row r="34" spans="1:7" ht="20.25" x14ac:dyDescent="0.3">
      <c r="A34" s="6" t="s">
        <v>2</v>
      </c>
      <c r="B34" s="7">
        <v>101.2</v>
      </c>
      <c r="C34" s="7">
        <v>103.6</v>
      </c>
      <c r="D34" s="7">
        <v>100.3</v>
      </c>
      <c r="E34" s="7">
        <v>106</v>
      </c>
      <c r="F34" s="8"/>
      <c r="G34" s="8"/>
    </row>
    <row r="35" spans="1:7" ht="20.25" x14ac:dyDescent="0.3">
      <c r="A35" s="6"/>
      <c r="B35" s="7"/>
      <c r="C35" s="7"/>
      <c r="D35" s="7"/>
      <c r="E35" s="7"/>
      <c r="F35" s="8"/>
      <c r="G35" s="8"/>
    </row>
    <row r="36" spans="1:7" ht="40.5" x14ac:dyDescent="0.3">
      <c r="A36" s="17" t="s">
        <v>37</v>
      </c>
      <c r="B36" s="7">
        <v>3869.1</v>
      </c>
      <c r="C36" s="7">
        <v>590.70000000000005</v>
      </c>
      <c r="D36" s="7">
        <v>184.07130000000001</v>
      </c>
      <c r="E36" s="7">
        <v>19.8568</v>
      </c>
      <c r="F36" s="8">
        <f t="shared" si="2"/>
        <v>4.7574707296270455</v>
      </c>
      <c r="G36" s="8">
        <f t="shared" si="3"/>
        <v>3.3615710174369386</v>
      </c>
    </row>
    <row r="37" spans="1:7" ht="20.25" x14ac:dyDescent="0.3">
      <c r="A37" s="6" t="s">
        <v>2</v>
      </c>
      <c r="B37" s="7">
        <v>84</v>
      </c>
      <c r="C37" s="7">
        <v>91.9</v>
      </c>
      <c r="D37" s="7">
        <v>104.5</v>
      </c>
      <c r="E37" s="7">
        <v>104.3</v>
      </c>
      <c r="F37" s="8"/>
      <c r="G37" s="8"/>
    </row>
    <row r="38" spans="1:7" ht="20.25" x14ac:dyDescent="0.3">
      <c r="A38" s="9"/>
      <c r="B38" s="7"/>
      <c r="C38" s="7"/>
      <c r="D38" s="7"/>
      <c r="E38" s="7"/>
      <c r="F38" s="8"/>
      <c r="G38" s="8"/>
    </row>
    <row r="39" spans="1:7" ht="20.25" x14ac:dyDescent="0.3">
      <c r="A39" s="17" t="s">
        <v>38</v>
      </c>
      <c r="B39" s="7">
        <v>180.1</v>
      </c>
      <c r="C39" s="7">
        <v>41.2</v>
      </c>
      <c r="D39" s="7">
        <v>2.3668</v>
      </c>
      <c r="E39" s="7">
        <v>0.77749999999999997</v>
      </c>
      <c r="F39" s="8">
        <f t="shared" si="2"/>
        <v>1.3141588006662965</v>
      </c>
      <c r="G39" s="8">
        <f t="shared" si="3"/>
        <v>1.887135922330097</v>
      </c>
    </row>
    <row r="40" spans="1:7" ht="20.25" x14ac:dyDescent="0.3">
      <c r="A40" s="6" t="s">
        <v>2</v>
      </c>
      <c r="B40" s="7">
        <v>83.3</v>
      </c>
      <c r="C40" s="7">
        <v>103.6</v>
      </c>
      <c r="D40" s="7">
        <v>89.8</v>
      </c>
      <c r="E40" s="7">
        <v>102.2</v>
      </c>
      <c r="F40" s="8"/>
      <c r="G40" s="8"/>
    </row>
    <row r="41" spans="1:7" ht="20.25" x14ac:dyDescent="0.3">
      <c r="A41" s="9"/>
      <c r="B41" s="19"/>
      <c r="C41" s="19"/>
      <c r="D41" s="18"/>
      <c r="E41" s="18"/>
      <c r="F41" s="8"/>
      <c r="G41" s="8"/>
    </row>
    <row r="42" spans="1:7" ht="60.75" x14ac:dyDescent="0.3">
      <c r="A42" s="13" t="s">
        <v>58</v>
      </c>
      <c r="B42" s="7">
        <v>7539.9</v>
      </c>
      <c r="C42" s="7">
        <f>737.9+500.2</f>
        <v>1238.0999999999999</v>
      </c>
      <c r="D42" s="7">
        <v>267.8</v>
      </c>
      <c r="E42" s="7"/>
      <c r="F42" s="8">
        <f>D42/7539.9*100</f>
        <v>3.5517712436504465</v>
      </c>
      <c r="G42" s="8"/>
    </row>
    <row r="43" spans="1:7" ht="20.25" x14ac:dyDescent="0.3">
      <c r="A43" s="20" t="s">
        <v>2</v>
      </c>
      <c r="B43" s="7">
        <v>83</v>
      </c>
      <c r="C43" s="7">
        <v>95.3</v>
      </c>
      <c r="D43" s="7">
        <v>93.3</v>
      </c>
      <c r="E43" s="7"/>
      <c r="F43" s="8"/>
      <c r="G43" s="8"/>
    </row>
    <row r="44" spans="1:7" ht="20.25" x14ac:dyDescent="0.3">
      <c r="A44" s="12"/>
      <c r="B44" s="7"/>
      <c r="C44" s="7"/>
      <c r="D44" s="7"/>
      <c r="E44" s="7"/>
      <c r="F44" s="8"/>
      <c r="G44" s="8"/>
    </row>
    <row r="45" spans="1:7" ht="40.5" x14ac:dyDescent="0.3">
      <c r="A45" s="21" t="s">
        <v>14</v>
      </c>
      <c r="B45" s="7">
        <v>59800</v>
      </c>
      <c r="C45" s="7">
        <v>9600</v>
      </c>
      <c r="D45" s="7">
        <v>2010.2</v>
      </c>
      <c r="E45" s="7">
        <v>501.9</v>
      </c>
      <c r="F45" s="8">
        <f t="shared" si="2"/>
        <v>3.3615384615384616</v>
      </c>
      <c r="G45" s="8">
        <f t="shared" si="3"/>
        <v>5.2281249999999995</v>
      </c>
    </row>
    <row r="46" spans="1:7" ht="20.25" x14ac:dyDescent="0.3">
      <c r="A46" s="6" t="s">
        <v>3</v>
      </c>
      <c r="B46" s="7">
        <v>93.3</v>
      </c>
      <c r="C46" s="7">
        <v>91.7</v>
      </c>
      <c r="D46" s="7">
        <v>90.4</v>
      </c>
      <c r="E46" s="7">
        <v>76</v>
      </c>
      <c r="F46" s="8"/>
      <c r="G46" s="8"/>
    </row>
    <row r="47" spans="1:7" ht="20.25" x14ac:dyDescent="0.3">
      <c r="A47" s="9"/>
      <c r="B47" s="7"/>
      <c r="C47" s="7"/>
      <c r="D47" s="7"/>
      <c r="E47" s="7"/>
      <c r="F47" s="8"/>
      <c r="G47" s="8"/>
    </row>
    <row r="48" spans="1:7" ht="40.5" x14ac:dyDescent="0.3">
      <c r="A48" s="13" t="s">
        <v>15</v>
      </c>
      <c r="B48" s="7">
        <v>14516.9</v>
      </c>
      <c r="C48" s="7">
        <v>3607.6</v>
      </c>
      <c r="D48" s="7">
        <v>393.90359999999998</v>
      </c>
      <c r="E48" s="7">
        <v>100.9228</v>
      </c>
      <c r="F48" s="8">
        <f t="shared" si="2"/>
        <v>2.713414020899779</v>
      </c>
      <c r="G48" s="8">
        <f t="shared" si="3"/>
        <v>2.7975052666592748</v>
      </c>
    </row>
    <row r="49" spans="1:7" ht="20.25" x14ac:dyDescent="0.3">
      <c r="A49" s="6" t="s">
        <v>2</v>
      </c>
      <c r="B49" s="7">
        <v>94.5</v>
      </c>
      <c r="C49" s="7">
        <v>101.3</v>
      </c>
      <c r="D49" s="7">
        <v>97.9</v>
      </c>
      <c r="E49" s="7">
        <v>106.1</v>
      </c>
      <c r="F49" s="8"/>
      <c r="G49" s="8"/>
    </row>
    <row r="50" spans="1:7" ht="20.25" x14ac:dyDescent="0.3">
      <c r="A50" s="9"/>
      <c r="B50" s="18"/>
      <c r="C50" s="18"/>
      <c r="D50" s="7"/>
      <c r="E50" s="7"/>
      <c r="F50" s="8"/>
      <c r="G50" s="8"/>
    </row>
    <row r="51" spans="1:7" ht="40.5" x14ac:dyDescent="0.3">
      <c r="A51" s="13" t="s">
        <v>16</v>
      </c>
      <c r="B51" s="7">
        <v>4413.7</v>
      </c>
      <c r="C51" s="7">
        <f>725.5+386.8</f>
        <v>1112.3</v>
      </c>
      <c r="D51" s="7">
        <v>128.7988</v>
      </c>
      <c r="E51" s="7">
        <v>35.8125</v>
      </c>
      <c r="F51" s="8">
        <f t="shared" si="2"/>
        <v>2.9181593674241566</v>
      </c>
      <c r="G51" s="8">
        <f t="shared" si="3"/>
        <v>3.2196799424615659</v>
      </c>
    </row>
    <row r="52" spans="1:7" ht="20.25" x14ac:dyDescent="0.3">
      <c r="A52" s="6" t="s">
        <v>2</v>
      </c>
      <c r="B52" s="7">
        <v>95.7</v>
      </c>
      <c r="C52" s="7">
        <v>99.1</v>
      </c>
      <c r="D52" s="7">
        <v>94.8</v>
      </c>
      <c r="E52" s="7">
        <v>101.9</v>
      </c>
      <c r="F52" s="8"/>
      <c r="G52" s="8"/>
    </row>
    <row r="53" spans="1:7" ht="20.25" x14ac:dyDescent="0.3">
      <c r="A53" s="9"/>
      <c r="B53" s="7"/>
      <c r="C53" s="7"/>
      <c r="D53" s="7"/>
      <c r="E53" s="7"/>
      <c r="F53" s="8"/>
      <c r="G53" s="8"/>
    </row>
    <row r="54" spans="1:7" ht="40.5" x14ac:dyDescent="0.3">
      <c r="A54" s="13" t="s">
        <v>5</v>
      </c>
      <c r="B54" s="7">
        <v>97.2</v>
      </c>
      <c r="C54" s="7">
        <v>102.2</v>
      </c>
      <c r="D54" s="7">
        <v>93.2</v>
      </c>
      <c r="E54" s="7" t="s">
        <v>63</v>
      </c>
      <c r="F54" s="8"/>
      <c r="G54" s="8"/>
    </row>
    <row r="55" spans="1:7" ht="20.25" x14ac:dyDescent="0.3">
      <c r="A55" s="13"/>
      <c r="B55" s="7"/>
      <c r="C55" s="7"/>
      <c r="D55" s="7"/>
      <c r="E55" s="7"/>
      <c r="F55" s="8"/>
      <c r="G55" s="8"/>
    </row>
    <row r="56" spans="1:7" ht="40.5" x14ac:dyDescent="0.3">
      <c r="A56" s="13" t="s">
        <v>17</v>
      </c>
      <c r="B56" s="7">
        <v>18785</v>
      </c>
      <c r="C56" s="7">
        <v>19337</v>
      </c>
      <c r="D56" s="7">
        <v>15208</v>
      </c>
      <c r="E56" s="7" t="s">
        <v>64</v>
      </c>
      <c r="F56" s="8"/>
      <c r="G56" s="8"/>
    </row>
    <row r="57" spans="1:7" ht="20.25" x14ac:dyDescent="0.3">
      <c r="A57" s="6" t="s">
        <v>3</v>
      </c>
      <c r="B57" s="7">
        <v>108.5</v>
      </c>
      <c r="C57" s="7">
        <v>109.6</v>
      </c>
      <c r="D57" s="7">
        <v>102.4</v>
      </c>
      <c r="E57" s="7" t="s">
        <v>65</v>
      </c>
      <c r="F57" s="8"/>
      <c r="G57" s="8"/>
    </row>
    <row r="58" spans="1:7" ht="20.25" x14ac:dyDescent="0.3">
      <c r="A58" s="9"/>
      <c r="B58" s="7"/>
      <c r="C58" s="7"/>
      <c r="D58" s="7"/>
      <c r="E58" s="7"/>
      <c r="F58" s="8"/>
      <c r="G58" s="8"/>
    </row>
    <row r="59" spans="1:7" ht="20.25" x14ac:dyDescent="0.3">
      <c r="A59" s="13" t="s">
        <v>4</v>
      </c>
      <c r="B59" s="7">
        <v>16818</v>
      </c>
      <c r="C59" s="7">
        <v>17392</v>
      </c>
      <c r="D59" s="7">
        <v>15522.7</v>
      </c>
      <c r="E59" s="7">
        <v>15504.6</v>
      </c>
      <c r="F59" s="8"/>
      <c r="G59" s="8"/>
    </row>
    <row r="60" spans="1:7" ht="20.25" x14ac:dyDescent="0.3">
      <c r="A60" s="6" t="s">
        <v>3</v>
      </c>
      <c r="B60" s="7">
        <v>112.6</v>
      </c>
      <c r="C60" s="7">
        <v>113.7</v>
      </c>
      <c r="D60" s="7">
        <v>109.5</v>
      </c>
      <c r="E60" s="7">
        <v>116.1</v>
      </c>
      <c r="F60" s="8"/>
      <c r="G60" s="8"/>
    </row>
    <row r="61" spans="1:7" ht="20.25" x14ac:dyDescent="0.3">
      <c r="A61" s="9"/>
      <c r="B61" s="7"/>
      <c r="C61" s="7"/>
      <c r="D61" s="7"/>
      <c r="E61" s="7"/>
      <c r="F61" s="8"/>
      <c r="G61" s="8"/>
    </row>
    <row r="62" spans="1:7" ht="41.25" thickBot="1" x14ac:dyDescent="0.35">
      <c r="A62" s="22" t="s">
        <v>39</v>
      </c>
      <c r="B62" s="23">
        <v>2.76</v>
      </c>
      <c r="C62" s="23">
        <v>3.01</v>
      </c>
      <c r="D62" s="23">
        <v>2.8</v>
      </c>
      <c r="E62" s="23">
        <v>3.4</v>
      </c>
      <c r="F62" s="24"/>
      <c r="G62" s="24"/>
    </row>
    <row r="63" spans="1:7" ht="18.75" thickTop="1" x14ac:dyDescent="0.25">
      <c r="A63" s="25"/>
    </row>
    <row r="64" spans="1:7" ht="18" x14ac:dyDescent="0.25">
      <c r="A64" s="25" t="s">
        <v>42</v>
      </c>
    </row>
    <row r="65" spans="1:1" ht="36" x14ac:dyDescent="0.25">
      <c r="A65" s="25" t="s">
        <v>67</v>
      </c>
    </row>
    <row r="66" spans="1:1" ht="18" x14ac:dyDescent="0.25">
      <c r="A66" s="25" t="s">
        <v>70</v>
      </c>
    </row>
    <row r="72" spans="1:1" ht="15.75" x14ac:dyDescent="0.3">
      <c r="A72" s="26"/>
    </row>
    <row r="74" spans="1:1" x14ac:dyDescent="0.25">
      <c r="A74" s="27"/>
    </row>
  </sheetData>
  <mergeCells count="5">
    <mergeCell ref="A1:G1"/>
    <mergeCell ref="A2:A3"/>
    <mergeCell ref="B2:C2"/>
    <mergeCell ref="D2:E2"/>
    <mergeCell ref="F2:G2"/>
  </mergeCell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60" zoomScaleNormal="60" workbookViewId="0">
      <selection activeCell="C4" sqref="C4"/>
    </sheetView>
  </sheetViews>
  <sheetFormatPr defaultColWidth="13.140625" defaultRowHeight="15" x14ac:dyDescent="0.25"/>
  <cols>
    <col min="1" max="1" width="97.7109375" style="1" customWidth="1"/>
    <col min="2" max="2" width="23.7109375" style="1" customWidth="1"/>
    <col min="3" max="3" width="31.28515625" style="1" customWidth="1"/>
    <col min="4" max="4" width="24.42578125" style="1" customWidth="1"/>
    <col min="5" max="5" width="30.140625" style="1" customWidth="1"/>
    <col min="6" max="6" width="23.28515625" style="1" customWidth="1"/>
    <col min="7" max="7" width="28.7109375" style="1" customWidth="1"/>
    <col min="8" max="16384" width="13.140625" style="1"/>
  </cols>
  <sheetData>
    <row r="1" spans="1:7" ht="27" thickBot="1" x14ac:dyDescent="0.3">
      <c r="A1" s="36" t="s">
        <v>21</v>
      </c>
      <c r="B1" s="36"/>
      <c r="C1" s="36"/>
      <c r="D1" s="36"/>
      <c r="E1" s="36"/>
      <c r="F1" s="36"/>
      <c r="G1" s="36"/>
    </row>
    <row r="2" spans="1:7" ht="21" thickTop="1" x14ac:dyDescent="0.25">
      <c r="A2" s="37" t="s">
        <v>0</v>
      </c>
      <c r="B2" s="37" t="s">
        <v>1</v>
      </c>
      <c r="C2" s="37"/>
      <c r="D2" s="37" t="s">
        <v>22</v>
      </c>
      <c r="E2" s="37"/>
      <c r="F2" s="39" t="s">
        <v>29</v>
      </c>
      <c r="G2" s="39"/>
    </row>
    <row r="3" spans="1:7" ht="41.25" thickBot="1" x14ac:dyDescent="0.3">
      <c r="A3" s="38"/>
      <c r="B3" s="2" t="s">
        <v>33</v>
      </c>
      <c r="C3" s="2" t="s">
        <v>71</v>
      </c>
      <c r="D3" s="2" t="s">
        <v>33</v>
      </c>
      <c r="E3" s="2" t="s">
        <v>72</v>
      </c>
      <c r="F3" s="2" t="s">
        <v>33</v>
      </c>
      <c r="G3" s="2" t="s">
        <v>73</v>
      </c>
    </row>
    <row r="4" spans="1:7" ht="46.5" customHeight="1" thickTop="1" x14ac:dyDescent="0.3">
      <c r="A4" s="3" t="s">
        <v>20</v>
      </c>
      <c r="B4" s="4" t="s">
        <v>66</v>
      </c>
      <c r="C4" s="4" t="s">
        <v>79</v>
      </c>
      <c r="D4" s="4">
        <v>878.02359999999999</v>
      </c>
      <c r="E4" s="4" t="s">
        <v>77</v>
      </c>
      <c r="F4" s="5">
        <v>2.7</v>
      </c>
      <c r="G4" s="5">
        <f>210.7/9862*100</f>
        <v>2.1364834719123911</v>
      </c>
    </row>
    <row r="5" spans="1:7" ht="20.25" x14ac:dyDescent="0.3">
      <c r="A5" s="6" t="s">
        <v>2</v>
      </c>
      <c r="B5" s="7" t="s">
        <v>44</v>
      </c>
      <c r="C5" s="7" t="s">
        <v>80</v>
      </c>
      <c r="D5" s="7">
        <v>95.8</v>
      </c>
      <c r="E5" s="7" t="s">
        <v>78</v>
      </c>
      <c r="F5" s="8"/>
      <c r="G5" s="8"/>
    </row>
    <row r="6" spans="1:7" ht="20.25" x14ac:dyDescent="0.3">
      <c r="A6" s="9"/>
      <c r="B6" s="7"/>
      <c r="C6" s="7"/>
      <c r="D6" s="7"/>
      <c r="E6" s="7"/>
      <c r="F6" s="8"/>
      <c r="G6" s="8"/>
    </row>
    <row r="7" spans="1:7" ht="40.5" x14ac:dyDescent="0.3">
      <c r="A7" s="10" t="s">
        <v>30</v>
      </c>
      <c r="B7" s="7">
        <v>108.8</v>
      </c>
      <c r="C7" s="7">
        <v>103.5</v>
      </c>
      <c r="D7" s="7">
        <v>107.5</v>
      </c>
      <c r="E7" s="7">
        <v>103.6</v>
      </c>
      <c r="F7" s="8"/>
      <c r="G7" s="8"/>
    </row>
    <row r="8" spans="1:7" ht="20.25" x14ac:dyDescent="0.3">
      <c r="A8" s="11" t="s">
        <v>23</v>
      </c>
      <c r="B8" s="7">
        <v>106.1</v>
      </c>
      <c r="C8" s="7">
        <v>104.1</v>
      </c>
      <c r="D8" s="7">
        <v>104.4</v>
      </c>
      <c r="E8" s="7">
        <v>103</v>
      </c>
      <c r="F8" s="8"/>
      <c r="G8" s="8"/>
    </row>
    <row r="9" spans="1:7" ht="20.25" x14ac:dyDescent="0.3">
      <c r="A9" s="11" t="s">
        <v>24</v>
      </c>
      <c r="B9" s="7">
        <v>109.7</v>
      </c>
      <c r="C9" s="7">
        <v>101.3</v>
      </c>
      <c r="D9" s="7">
        <v>109.1</v>
      </c>
      <c r="E9" s="7">
        <v>101.7</v>
      </c>
      <c r="F9" s="8"/>
      <c r="G9" s="8"/>
    </row>
    <row r="10" spans="1:7" ht="20.25" x14ac:dyDescent="0.3">
      <c r="A10" s="11" t="s">
        <v>25</v>
      </c>
      <c r="B10" s="7">
        <v>111.6</v>
      </c>
      <c r="C10" s="7">
        <v>105.6</v>
      </c>
      <c r="D10" s="7">
        <v>109.5</v>
      </c>
      <c r="E10" s="7">
        <v>106.9</v>
      </c>
      <c r="F10" s="8"/>
      <c r="G10" s="8"/>
    </row>
    <row r="11" spans="1:7" ht="20.25" x14ac:dyDescent="0.3">
      <c r="A11" s="12"/>
      <c r="B11" s="7"/>
      <c r="C11" s="7"/>
      <c r="D11" s="7"/>
      <c r="E11" s="7"/>
      <c r="F11" s="8"/>
      <c r="G11" s="8"/>
    </row>
    <row r="12" spans="1:7" ht="60.75" x14ac:dyDescent="0.3">
      <c r="A12" s="13" t="s">
        <v>31</v>
      </c>
      <c r="B12" s="7">
        <v>21483.9</v>
      </c>
      <c r="C12" s="7">
        <f>1764.6+1825.9+2142.3+2122.3</f>
        <v>7855.1</v>
      </c>
      <c r="D12" s="7">
        <v>859.01610000000005</v>
      </c>
      <c r="E12" s="7">
        <v>316.86770000000001</v>
      </c>
      <c r="F12" s="8">
        <f>E12/C12*100</f>
        <v>4.0339104530814369</v>
      </c>
      <c r="G12" s="8">
        <f>E12/C12*100</f>
        <v>4.0339104530814369</v>
      </c>
    </row>
    <row r="13" spans="1:7" ht="20.25" x14ac:dyDescent="0.3">
      <c r="A13" s="12"/>
      <c r="B13" s="7"/>
      <c r="C13" s="7"/>
      <c r="D13" s="7"/>
      <c r="E13" s="7"/>
      <c r="F13" s="8"/>
      <c r="G13" s="8"/>
    </row>
    <row r="14" spans="1:7" ht="40.5" x14ac:dyDescent="0.3">
      <c r="A14" s="14" t="s">
        <v>32</v>
      </c>
      <c r="B14" s="7">
        <v>89.2</v>
      </c>
      <c r="C14" s="7">
        <v>106.9</v>
      </c>
      <c r="D14" s="7">
        <v>92.3</v>
      </c>
      <c r="E14" s="7">
        <v>108.6</v>
      </c>
      <c r="F14" s="8"/>
      <c r="G14" s="8"/>
    </row>
    <row r="15" spans="1:7" ht="21.75" customHeight="1" x14ac:dyDescent="0.3">
      <c r="A15" s="11" t="s">
        <v>26</v>
      </c>
      <c r="B15" s="7">
        <v>98.8</v>
      </c>
      <c r="C15" s="7">
        <v>106.3</v>
      </c>
      <c r="D15" s="7">
        <v>100.6</v>
      </c>
      <c r="E15" s="7">
        <v>100.3</v>
      </c>
      <c r="F15" s="8"/>
      <c r="G15" s="8"/>
    </row>
    <row r="16" spans="1:7" ht="20.25" x14ac:dyDescent="0.3">
      <c r="A16" s="11" t="s">
        <v>27</v>
      </c>
      <c r="B16" s="7">
        <v>84</v>
      </c>
      <c r="C16" s="7">
        <v>108.3</v>
      </c>
      <c r="D16" s="7">
        <v>86.8</v>
      </c>
      <c r="E16" s="7">
        <v>116.6</v>
      </c>
      <c r="F16" s="8"/>
      <c r="G16" s="8"/>
    </row>
    <row r="17" spans="1:13" ht="40.5" x14ac:dyDescent="0.3">
      <c r="A17" s="11" t="s">
        <v>28</v>
      </c>
      <c r="B17" s="7">
        <v>95.2</v>
      </c>
      <c r="C17" s="7">
        <v>106</v>
      </c>
      <c r="D17" s="7">
        <v>90.5</v>
      </c>
      <c r="E17" s="7">
        <v>109.7</v>
      </c>
      <c r="F17" s="8"/>
      <c r="G17" s="8"/>
    </row>
    <row r="18" spans="1:13" ht="20.25" x14ac:dyDescent="0.3">
      <c r="A18" s="14"/>
      <c r="B18" s="7"/>
      <c r="C18" s="7"/>
      <c r="D18" s="7"/>
      <c r="E18" s="7"/>
      <c r="F18" s="8"/>
      <c r="G18" s="8"/>
    </row>
    <row r="19" spans="1:13" ht="40.5" x14ac:dyDescent="0.3">
      <c r="A19" s="14" t="s">
        <v>34</v>
      </c>
      <c r="B19" s="7"/>
      <c r="C19" s="7"/>
      <c r="D19" s="7"/>
      <c r="E19" s="7"/>
      <c r="F19" s="8"/>
      <c r="G19" s="8"/>
    </row>
    <row r="20" spans="1:13" ht="23.25" x14ac:dyDescent="0.35">
      <c r="A20" s="11" t="s">
        <v>6</v>
      </c>
      <c r="B20" s="7">
        <v>494</v>
      </c>
      <c r="C20" s="7">
        <f>81.2+42.8+41.3</f>
        <v>165.3</v>
      </c>
      <c r="D20" s="7">
        <v>32.4</v>
      </c>
      <c r="E20" s="7">
        <v>10.6</v>
      </c>
      <c r="F20" s="8">
        <f>D20/B20*100</f>
        <v>6.5587044534412957</v>
      </c>
      <c r="G20" s="8">
        <f>E20/C20*100</f>
        <v>6.4125831820931634</v>
      </c>
      <c r="I20" s="4"/>
      <c r="J20" s="28"/>
    </row>
    <row r="21" spans="1:13" ht="20.25" x14ac:dyDescent="0.3">
      <c r="A21" s="11" t="s">
        <v>7</v>
      </c>
      <c r="B21" s="7">
        <v>35800</v>
      </c>
      <c r="C21" s="7">
        <f>3100+5800+2800</f>
        <v>11700</v>
      </c>
      <c r="D21" s="7">
        <v>618.4</v>
      </c>
      <c r="E21" s="7">
        <v>233.2</v>
      </c>
      <c r="F21" s="8">
        <f t="shared" ref="F21:G29" si="0">D21/B21*100</f>
        <v>1.7273743016759775</v>
      </c>
      <c r="G21" s="8">
        <f t="shared" si="0"/>
        <v>1.993162393162393</v>
      </c>
      <c r="I21" s="4"/>
    </row>
    <row r="22" spans="1:13" ht="20.25" x14ac:dyDescent="0.3">
      <c r="A22" s="11" t="s">
        <v>8</v>
      </c>
      <c r="B22" s="7">
        <v>971</v>
      </c>
      <c r="C22" s="7">
        <f>101+181.3+97.4</f>
        <v>379.70000000000005</v>
      </c>
      <c r="D22" s="7">
        <v>407.3</v>
      </c>
      <c r="E22" s="7">
        <v>158.69999999999999</v>
      </c>
      <c r="F22" s="8">
        <f t="shared" si="0"/>
        <v>41.946446961894956</v>
      </c>
      <c r="G22" s="8">
        <f t="shared" si="0"/>
        <v>41.796154859099282</v>
      </c>
      <c r="I22" s="4"/>
    </row>
    <row r="23" spans="1:13" ht="20.25" x14ac:dyDescent="0.3">
      <c r="A23" s="11" t="s">
        <v>49</v>
      </c>
      <c r="B23" s="7">
        <v>1411</v>
      </c>
      <c r="C23" s="7">
        <f>158+268+137</f>
        <v>563</v>
      </c>
      <c r="D23" s="7">
        <v>731.9</v>
      </c>
      <c r="E23" s="7">
        <v>275.5</v>
      </c>
      <c r="F23" s="8">
        <f t="shared" si="0"/>
        <v>51.871013465627215</v>
      </c>
      <c r="G23" s="8">
        <f t="shared" si="0"/>
        <v>48.934280639431613</v>
      </c>
      <c r="I23" s="4"/>
      <c r="M23" s="15"/>
    </row>
    <row r="24" spans="1:13" ht="20.25" x14ac:dyDescent="0.3">
      <c r="A24" s="11" t="s">
        <v>40</v>
      </c>
      <c r="B24" s="7">
        <v>27.995000000000001</v>
      </c>
      <c r="C24" s="7">
        <f>7.4+2.818</f>
        <v>10.218</v>
      </c>
      <c r="D24" s="7">
        <v>9.4</v>
      </c>
      <c r="E24" s="7">
        <v>3.4</v>
      </c>
      <c r="F24" s="8">
        <f t="shared" si="0"/>
        <v>33.577424540096445</v>
      </c>
      <c r="G24" s="8">
        <f t="shared" si="0"/>
        <v>33.274613427285182</v>
      </c>
      <c r="I24" s="4"/>
      <c r="M24" s="15"/>
    </row>
    <row r="25" spans="1:13" ht="20.25" x14ac:dyDescent="0.3">
      <c r="A25" s="11" t="s">
        <v>10</v>
      </c>
      <c r="B25" s="7">
        <v>91.4</v>
      </c>
      <c r="C25" s="7">
        <f>11.2+11.9+12.4</f>
        <v>35.5</v>
      </c>
      <c r="D25" s="7">
        <v>27.9</v>
      </c>
      <c r="E25" s="7">
        <v>11.038</v>
      </c>
      <c r="F25" s="8">
        <f t="shared" si="0"/>
        <v>30.525164113785554</v>
      </c>
      <c r="G25" s="8">
        <f t="shared" si="0"/>
        <v>31.092957746478874</v>
      </c>
      <c r="I25" s="4"/>
      <c r="M25" s="15"/>
    </row>
    <row r="26" spans="1:13" ht="20.25" x14ac:dyDescent="0.3">
      <c r="A26" s="11" t="s">
        <v>11</v>
      </c>
      <c r="B26" s="7">
        <v>597</v>
      </c>
      <c r="C26" s="7">
        <f>85+103.3+93.7</f>
        <v>282</v>
      </c>
      <c r="D26" s="7">
        <v>5.4</v>
      </c>
      <c r="E26" s="7">
        <v>1.202</v>
      </c>
      <c r="F26" s="8">
        <f t="shared" si="0"/>
        <v>0.90452261306532677</v>
      </c>
      <c r="G26" s="8">
        <f t="shared" si="0"/>
        <v>0.42624113475177305</v>
      </c>
      <c r="I26" s="4"/>
    </row>
    <row r="27" spans="1:13" ht="20.25" x14ac:dyDescent="0.3">
      <c r="A27" s="11" t="s">
        <v>19</v>
      </c>
      <c r="B27" s="7">
        <v>3923</v>
      </c>
      <c r="C27" s="7">
        <f>393+712+363</f>
        <v>1468</v>
      </c>
      <c r="D27" s="7">
        <v>56.7</v>
      </c>
      <c r="E27" s="7">
        <v>37.6</v>
      </c>
      <c r="F27" s="8">
        <f t="shared" si="0"/>
        <v>1.4453224573030843</v>
      </c>
      <c r="G27" s="8">
        <f t="shared" si="0"/>
        <v>2.561307901907357</v>
      </c>
    </row>
    <row r="28" spans="1:13" ht="20.25" x14ac:dyDescent="0.3">
      <c r="A28" s="11" t="s">
        <v>18</v>
      </c>
      <c r="B28" s="7">
        <v>3450</v>
      </c>
      <c r="C28" s="7">
        <f>271+492+250</f>
        <v>1013</v>
      </c>
      <c r="D28" s="7">
        <v>153.9</v>
      </c>
      <c r="E28" s="7">
        <v>32.1</v>
      </c>
      <c r="F28" s="8">
        <f t="shared" si="0"/>
        <v>4.4608695652173918</v>
      </c>
      <c r="G28" s="8">
        <f t="shared" si="0"/>
        <v>3.1688055281342544</v>
      </c>
    </row>
    <row r="29" spans="1:13" ht="20.25" x14ac:dyDescent="0.3">
      <c r="A29" s="11" t="s">
        <v>12</v>
      </c>
      <c r="B29" s="7">
        <v>929</v>
      </c>
      <c r="C29" s="7">
        <f>85.6+142.8+89.9</f>
        <v>318.3</v>
      </c>
      <c r="D29" s="7">
        <v>112</v>
      </c>
      <c r="E29" s="7">
        <v>39.799999999999997</v>
      </c>
      <c r="F29" s="8">
        <f t="shared" si="0"/>
        <v>12.055974165769644</v>
      </c>
      <c r="G29" s="8">
        <f t="shared" si="0"/>
        <v>12.503927112786679</v>
      </c>
    </row>
    <row r="30" spans="1:13" ht="20.25" x14ac:dyDescent="0.3">
      <c r="A30" s="14"/>
      <c r="B30" s="7"/>
      <c r="C30" s="7"/>
      <c r="D30" s="7"/>
      <c r="E30" s="7"/>
      <c r="F30" s="8"/>
      <c r="G30" s="8"/>
    </row>
    <row r="31" spans="1:13" ht="40.5" x14ac:dyDescent="0.3">
      <c r="A31" s="13" t="s">
        <v>35</v>
      </c>
      <c r="B31" s="7">
        <v>113.9</v>
      </c>
      <c r="C31" s="7">
        <v>106</v>
      </c>
      <c r="D31" s="7">
        <v>128.5</v>
      </c>
      <c r="E31" s="7">
        <v>100.5</v>
      </c>
      <c r="F31" s="8"/>
      <c r="G31" s="8"/>
    </row>
    <row r="32" spans="1:13" ht="20.25" x14ac:dyDescent="0.3">
      <c r="A32" s="13"/>
      <c r="B32" s="7"/>
      <c r="C32" s="7"/>
      <c r="D32" s="7"/>
      <c r="E32" s="7"/>
      <c r="F32" s="8"/>
      <c r="G32" s="8"/>
    </row>
    <row r="33" spans="1:7" ht="40.5" x14ac:dyDescent="0.3">
      <c r="A33" s="17" t="s">
        <v>36</v>
      </c>
      <c r="B33" s="7">
        <v>2551.6999999999998</v>
      </c>
      <c r="C33" s="7">
        <v>396.4</v>
      </c>
      <c r="D33" s="7">
        <v>119.1283</v>
      </c>
      <c r="E33" s="7">
        <v>27.6389</v>
      </c>
      <c r="F33" s="8">
        <f t="shared" ref="F33:G51" si="1">D33/B33*100</f>
        <v>4.6685856487831643</v>
      </c>
      <c r="G33" s="8">
        <f t="shared" si="1"/>
        <v>6.9724772956609486</v>
      </c>
    </row>
    <row r="34" spans="1:7" ht="20.25" x14ac:dyDescent="0.3">
      <c r="A34" s="6" t="s">
        <v>2</v>
      </c>
      <c r="B34" s="7">
        <v>101.2</v>
      </c>
      <c r="C34" s="7">
        <v>103.6</v>
      </c>
      <c r="D34" s="7">
        <v>100.1</v>
      </c>
      <c r="E34" s="7">
        <v>106</v>
      </c>
      <c r="F34" s="8"/>
      <c r="G34" s="8"/>
    </row>
    <row r="35" spans="1:7" ht="20.25" x14ac:dyDescent="0.3">
      <c r="A35" s="6"/>
      <c r="B35" s="7"/>
      <c r="C35" s="7"/>
      <c r="D35" s="7"/>
      <c r="E35" s="7"/>
      <c r="F35" s="8"/>
      <c r="G35" s="8"/>
    </row>
    <row r="36" spans="1:7" ht="40.5" x14ac:dyDescent="0.3">
      <c r="A36" s="17" t="s">
        <v>37</v>
      </c>
      <c r="B36" s="7">
        <v>3869.1</v>
      </c>
      <c r="C36" s="7">
        <v>875.5</v>
      </c>
      <c r="D36" s="7">
        <v>184.07130000000001</v>
      </c>
      <c r="E36" s="7">
        <v>29.493099999999998</v>
      </c>
      <c r="F36" s="8">
        <f t="shared" si="1"/>
        <v>4.7574707296270455</v>
      </c>
      <c r="G36" s="8">
        <f t="shared" si="1"/>
        <v>3.3687150199885783</v>
      </c>
    </row>
    <row r="37" spans="1:7" ht="20.25" x14ac:dyDescent="0.3">
      <c r="A37" s="6" t="s">
        <v>2</v>
      </c>
      <c r="B37" s="7">
        <v>84</v>
      </c>
      <c r="C37" s="7">
        <v>93.8</v>
      </c>
      <c r="D37" s="7">
        <v>104.5</v>
      </c>
      <c r="E37" s="7">
        <v>104.3</v>
      </c>
      <c r="F37" s="8"/>
      <c r="G37" s="8"/>
    </row>
    <row r="38" spans="1:7" ht="20.25" x14ac:dyDescent="0.3">
      <c r="A38" s="9"/>
      <c r="B38" s="7"/>
      <c r="C38" s="7"/>
      <c r="D38" s="7"/>
      <c r="E38" s="7"/>
      <c r="F38" s="8"/>
      <c r="G38" s="8"/>
    </row>
    <row r="39" spans="1:7" ht="20.25" x14ac:dyDescent="0.3">
      <c r="A39" s="17" t="s">
        <v>38</v>
      </c>
      <c r="B39" s="7">
        <v>180.1</v>
      </c>
      <c r="C39" s="7">
        <v>57.4</v>
      </c>
      <c r="D39" s="7">
        <v>2.3668</v>
      </c>
      <c r="E39" s="7"/>
      <c r="F39" s="8">
        <f t="shared" si="1"/>
        <v>1.3141588006662965</v>
      </c>
      <c r="G39" s="8">
        <f t="shared" si="1"/>
        <v>0</v>
      </c>
    </row>
    <row r="40" spans="1:7" ht="20.25" x14ac:dyDescent="0.3">
      <c r="A40" s="6" t="s">
        <v>2</v>
      </c>
      <c r="B40" s="7">
        <v>83.3</v>
      </c>
      <c r="C40" s="7">
        <v>107.1</v>
      </c>
      <c r="D40" s="7">
        <v>89.8</v>
      </c>
      <c r="E40" s="7">
        <v>105.9</v>
      </c>
      <c r="F40" s="8"/>
      <c r="G40" s="8"/>
    </row>
    <row r="41" spans="1:7" ht="20.25" x14ac:dyDescent="0.3">
      <c r="A41" s="9"/>
      <c r="B41" s="19"/>
      <c r="C41" s="19"/>
      <c r="D41" s="18"/>
      <c r="E41" s="18"/>
      <c r="F41" s="8"/>
      <c r="G41" s="8"/>
    </row>
    <row r="42" spans="1:7" ht="60.75" x14ac:dyDescent="0.3">
      <c r="A42" s="13" t="s">
        <v>58</v>
      </c>
      <c r="B42" s="7">
        <v>7539.9</v>
      </c>
      <c r="C42" s="7">
        <f>737.9+500.2+521.2</f>
        <v>1759.3</v>
      </c>
      <c r="D42" s="7">
        <v>267.8</v>
      </c>
      <c r="E42" s="7" t="s">
        <v>75</v>
      </c>
      <c r="F42" s="8">
        <f>D42/7539.9*100</f>
        <v>3.5517712436504465</v>
      </c>
      <c r="G42" s="8"/>
    </row>
    <row r="43" spans="1:7" ht="20.25" x14ac:dyDescent="0.3">
      <c r="A43" s="20" t="s">
        <v>2</v>
      </c>
      <c r="B43" s="7">
        <v>83</v>
      </c>
      <c r="C43" s="7">
        <v>97.7</v>
      </c>
      <c r="D43" s="7">
        <v>93.3</v>
      </c>
      <c r="E43" s="7" t="s">
        <v>76</v>
      </c>
      <c r="F43" s="8"/>
      <c r="G43" s="8"/>
    </row>
    <row r="44" spans="1:7" ht="20.25" x14ac:dyDescent="0.3">
      <c r="A44" s="12"/>
      <c r="B44" s="7"/>
      <c r="C44" s="7"/>
      <c r="D44" s="7"/>
      <c r="E44" s="7"/>
      <c r="F44" s="8"/>
      <c r="G44" s="8"/>
    </row>
    <row r="45" spans="1:7" ht="40.5" x14ac:dyDescent="0.3">
      <c r="A45" s="21" t="s">
        <v>14</v>
      </c>
      <c r="B45" s="7">
        <v>59800</v>
      </c>
      <c r="C45" s="7">
        <v>13400</v>
      </c>
      <c r="D45" s="7">
        <v>2010.2</v>
      </c>
      <c r="E45" s="7">
        <v>653</v>
      </c>
      <c r="F45" s="8">
        <f t="shared" si="1"/>
        <v>3.3615384615384616</v>
      </c>
      <c r="G45" s="8">
        <f t="shared" si="1"/>
        <v>4.8731343283582094</v>
      </c>
    </row>
    <row r="46" spans="1:7" ht="20.25" x14ac:dyDescent="0.3">
      <c r="A46" s="6" t="s">
        <v>3</v>
      </c>
      <c r="B46" s="7">
        <v>93.3</v>
      </c>
      <c r="C46" s="7">
        <v>97.6</v>
      </c>
      <c r="D46" s="7">
        <v>90.4</v>
      </c>
      <c r="E46" s="7">
        <v>80.2</v>
      </c>
      <c r="F46" s="8"/>
      <c r="G46" s="8"/>
    </row>
    <row r="47" spans="1:7" ht="20.25" x14ac:dyDescent="0.3">
      <c r="A47" s="9"/>
      <c r="B47" s="7"/>
      <c r="C47" s="7"/>
      <c r="D47" s="7"/>
      <c r="E47" s="7"/>
      <c r="F47" s="8"/>
      <c r="G47" s="8"/>
    </row>
    <row r="48" spans="1:7" ht="40.5" x14ac:dyDescent="0.3">
      <c r="A48" s="13" t="s">
        <v>15</v>
      </c>
      <c r="B48" s="7">
        <v>14516.9</v>
      </c>
      <c r="C48" s="7">
        <v>4880.8</v>
      </c>
      <c r="D48" s="7">
        <v>393.90359999999998</v>
      </c>
      <c r="E48" s="7">
        <v>136.07839999999999</v>
      </c>
      <c r="F48" s="8">
        <f t="shared" si="1"/>
        <v>2.713414020899779</v>
      </c>
      <c r="G48" s="8">
        <f t="shared" si="1"/>
        <v>2.788034748401901</v>
      </c>
    </row>
    <row r="49" spans="1:7" ht="20.25" x14ac:dyDescent="0.3">
      <c r="A49" s="6" t="s">
        <v>2</v>
      </c>
      <c r="B49" s="7">
        <v>94.5</v>
      </c>
      <c r="C49" s="7">
        <v>102</v>
      </c>
      <c r="D49" s="7">
        <v>97.9</v>
      </c>
      <c r="E49" s="7">
        <v>106.6</v>
      </c>
      <c r="F49" s="8"/>
      <c r="G49" s="8"/>
    </row>
    <row r="50" spans="1:7" ht="20.25" x14ac:dyDescent="0.3">
      <c r="A50" s="9"/>
      <c r="B50" s="18"/>
      <c r="C50" s="18"/>
      <c r="D50" s="7"/>
      <c r="E50" s="7"/>
      <c r="F50" s="8"/>
      <c r="G50" s="8"/>
    </row>
    <row r="51" spans="1:7" ht="40.5" x14ac:dyDescent="0.3">
      <c r="A51" s="13" t="s">
        <v>16</v>
      </c>
      <c r="B51" s="7">
        <v>4413.7</v>
      </c>
      <c r="C51" s="7">
        <v>1515.2</v>
      </c>
      <c r="D51" s="7">
        <v>128.7988</v>
      </c>
      <c r="E51" s="7">
        <v>48.012999999999998</v>
      </c>
      <c r="F51" s="8">
        <f t="shared" si="1"/>
        <v>2.9181593674241566</v>
      </c>
      <c r="G51" s="8">
        <f t="shared" si="1"/>
        <v>3.1687565997888063</v>
      </c>
    </row>
    <row r="52" spans="1:7" ht="20.25" x14ac:dyDescent="0.3">
      <c r="A52" s="6" t="s">
        <v>2</v>
      </c>
      <c r="B52" s="7">
        <v>95.7</v>
      </c>
      <c r="C52" s="7">
        <v>100.2</v>
      </c>
      <c r="D52" s="7">
        <v>94.8</v>
      </c>
      <c r="E52" s="7">
        <v>103.1</v>
      </c>
      <c r="F52" s="8"/>
      <c r="G52" s="8"/>
    </row>
    <row r="53" spans="1:7" ht="20.25" x14ac:dyDescent="0.3">
      <c r="A53" s="9"/>
      <c r="B53" s="7"/>
      <c r="C53" s="7"/>
      <c r="D53" s="7"/>
      <c r="E53" s="7"/>
      <c r="F53" s="8"/>
      <c r="G53" s="8"/>
    </row>
    <row r="54" spans="1:7" ht="40.5" x14ac:dyDescent="0.3">
      <c r="A54" s="13" t="s">
        <v>5</v>
      </c>
      <c r="B54" s="7">
        <v>97.2</v>
      </c>
      <c r="C54" s="7">
        <v>103.8</v>
      </c>
      <c r="D54" s="7">
        <v>92.8</v>
      </c>
      <c r="E54" s="7">
        <v>105.8</v>
      </c>
      <c r="F54" s="8"/>
      <c r="G54" s="8"/>
    </row>
    <row r="55" spans="1:7" ht="20.25" x14ac:dyDescent="0.3">
      <c r="A55" s="13"/>
      <c r="B55" s="7"/>
      <c r="C55" s="7"/>
      <c r="D55" s="7"/>
      <c r="E55" s="7"/>
      <c r="F55" s="8"/>
      <c r="G55" s="8"/>
    </row>
    <row r="56" spans="1:7" ht="40.5" x14ac:dyDescent="0.3">
      <c r="A56" s="13" t="s">
        <v>17</v>
      </c>
      <c r="B56" s="7">
        <v>18785</v>
      </c>
      <c r="C56" s="7">
        <v>19710</v>
      </c>
      <c r="D56" s="7">
        <v>15206.9</v>
      </c>
      <c r="E56" s="7">
        <v>15804.8</v>
      </c>
      <c r="F56" s="8"/>
      <c r="G56" s="8"/>
    </row>
    <row r="57" spans="1:7" ht="20.25" x14ac:dyDescent="0.3">
      <c r="A57" s="6" t="s">
        <v>3</v>
      </c>
      <c r="B57" s="7">
        <v>108.5</v>
      </c>
      <c r="C57" s="7">
        <v>111</v>
      </c>
      <c r="D57" s="7">
        <v>102</v>
      </c>
      <c r="E57" s="7">
        <v>113.2</v>
      </c>
      <c r="F57" s="8"/>
      <c r="G57" s="8"/>
    </row>
    <row r="58" spans="1:7" ht="20.25" x14ac:dyDescent="0.3">
      <c r="A58" s="9"/>
      <c r="B58" s="7"/>
      <c r="C58" s="7"/>
      <c r="D58" s="7"/>
      <c r="E58" s="7"/>
      <c r="F58" s="8"/>
      <c r="G58" s="8"/>
    </row>
    <row r="59" spans="1:7" ht="20.25" x14ac:dyDescent="0.3">
      <c r="A59" s="13" t="s">
        <v>4</v>
      </c>
      <c r="B59" s="7">
        <v>16818</v>
      </c>
      <c r="C59" s="7">
        <v>18721</v>
      </c>
      <c r="D59" s="7">
        <v>15522.7</v>
      </c>
      <c r="E59" s="7">
        <v>15954.5</v>
      </c>
      <c r="F59" s="8"/>
      <c r="G59" s="8"/>
    </row>
    <row r="60" spans="1:7" ht="20.25" x14ac:dyDescent="0.3">
      <c r="A60" s="6" t="s">
        <v>3</v>
      </c>
      <c r="B60" s="7">
        <v>112.6</v>
      </c>
      <c r="C60" s="7">
        <v>112.9</v>
      </c>
      <c r="D60" s="7">
        <v>109.5</v>
      </c>
      <c r="E60" s="7">
        <v>115.5</v>
      </c>
      <c r="F60" s="8"/>
      <c r="G60" s="8"/>
    </row>
    <row r="61" spans="1:7" ht="20.25" x14ac:dyDescent="0.3">
      <c r="A61" s="9"/>
      <c r="B61" s="7"/>
      <c r="C61" s="7"/>
      <c r="D61" s="7"/>
      <c r="E61" s="7"/>
      <c r="F61" s="8"/>
      <c r="G61" s="8"/>
    </row>
    <row r="62" spans="1:7" ht="41.25" thickBot="1" x14ac:dyDescent="0.35">
      <c r="A62" s="22" t="s">
        <v>39</v>
      </c>
      <c r="B62" s="23">
        <v>2.76</v>
      </c>
      <c r="C62" s="23">
        <v>2.93</v>
      </c>
      <c r="D62" s="23">
        <v>2.8</v>
      </c>
      <c r="E62" s="23">
        <v>3.4</v>
      </c>
      <c r="F62" s="24"/>
      <c r="G62" s="24"/>
    </row>
    <row r="63" spans="1:7" ht="18.75" thickTop="1" x14ac:dyDescent="0.25">
      <c r="A63" s="25"/>
    </row>
    <row r="64" spans="1:7" ht="18" x14ac:dyDescent="0.25">
      <c r="A64" s="25" t="s">
        <v>42</v>
      </c>
    </row>
    <row r="65" spans="1:1" ht="18" x14ac:dyDescent="0.25">
      <c r="A65" s="25" t="s">
        <v>74</v>
      </c>
    </row>
    <row r="66" spans="1:1" ht="18" x14ac:dyDescent="0.25">
      <c r="A66" s="25"/>
    </row>
    <row r="72" spans="1:1" ht="15.75" x14ac:dyDescent="0.3">
      <c r="A72" s="26"/>
    </row>
    <row r="74" spans="1:1" x14ac:dyDescent="0.25">
      <c r="A74" s="27"/>
    </row>
  </sheetData>
  <mergeCells count="5">
    <mergeCell ref="A1:G1"/>
    <mergeCell ref="A2:A3"/>
    <mergeCell ref="B2:C2"/>
    <mergeCell ref="D2:E2"/>
    <mergeCell ref="F2:G2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="50" zoomScaleNormal="50" workbookViewId="0">
      <selection activeCell="C12" sqref="C12"/>
    </sheetView>
  </sheetViews>
  <sheetFormatPr defaultColWidth="13.140625" defaultRowHeight="15" x14ac:dyDescent="0.25"/>
  <cols>
    <col min="1" max="1" width="97.7109375" style="1" customWidth="1"/>
    <col min="2" max="2" width="23.7109375" style="1" customWidth="1"/>
    <col min="3" max="3" width="31.28515625" style="1" customWidth="1"/>
    <col min="4" max="4" width="24.42578125" style="1" customWidth="1"/>
    <col min="5" max="5" width="30.140625" style="1" customWidth="1"/>
    <col min="6" max="6" width="23.28515625" style="1" customWidth="1"/>
    <col min="7" max="7" width="28.7109375" style="1" customWidth="1"/>
    <col min="8" max="16384" width="13.140625" style="1"/>
  </cols>
  <sheetData>
    <row r="1" spans="1:7" ht="27" thickBot="1" x14ac:dyDescent="0.3">
      <c r="A1" s="36" t="s">
        <v>21</v>
      </c>
      <c r="B1" s="36"/>
      <c r="C1" s="36"/>
      <c r="D1" s="36"/>
      <c r="E1" s="36"/>
      <c r="F1" s="36"/>
      <c r="G1" s="36"/>
    </row>
    <row r="2" spans="1:7" ht="21" thickTop="1" x14ac:dyDescent="0.25">
      <c r="A2" s="37" t="s">
        <v>0</v>
      </c>
      <c r="B2" s="37" t="s">
        <v>1</v>
      </c>
      <c r="C2" s="37"/>
      <c r="D2" s="37" t="s">
        <v>22</v>
      </c>
      <c r="E2" s="37"/>
      <c r="F2" s="39" t="s">
        <v>29</v>
      </c>
      <c r="G2" s="39"/>
    </row>
    <row r="3" spans="1:7" ht="41.25" thickBot="1" x14ac:dyDescent="0.3">
      <c r="A3" s="38"/>
      <c r="B3" s="2" t="s">
        <v>33</v>
      </c>
      <c r="C3" s="2" t="s">
        <v>81</v>
      </c>
      <c r="D3" s="2" t="s">
        <v>33</v>
      </c>
      <c r="E3" s="2" t="s">
        <v>82</v>
      </c>
      <c r="F3" s="2" t="s">
        <v>33</v>
      </c>
      <c r="G3" s="2" t="s">
        <v>83</v>
      </c>
    </row>
    <row r="4" spans="1:7" ht="41.25" thickTop="1" x14ac:dyDescent="0.3">
      <c r="A4" s="3" t="s">
        <v>20</v>
      </c>
      <c r="B4" s="4" t="s">
        <v>66</v>
      </c>
      <c r="C4" s="29"/>
      <c r="D4" s="4">
        <v>878.02359999999999</v>
      </c>
      <c r="E4" s="4" t="s">
        <v>87</v>
      </c>
      <c r="F4" s="5">
        <v>2.7</v>
      </c>
      <c r="G4" s="5">
        <f>210.7/9862*100</f>
        <v>2.1364834719123911</v>
      </c>
    </row>
    <row r="5" spans="1:7" ht="20.25" x14ac:dyDescent="0.3">
      <c r="A5" s="6" t="s">
        <v>2</v>
      </c>
      <c r="B5" s="7" t="s">
        <v>44</v>
      </c>
      <c r="C5" s="4">
        <v>104</v>
      </c>
      <c r="D5" s="7">
        <v>95.8</v>
      </c>
      <c r="E5" s="7" t="s">
        <v>88</v>
      </c>
      <c r="F5" s="8"/>
      <c r="G5" s="8"/>
    </row>
    <row r="6" spans="1:7" ht="20.25" x14ac:dyDescent="0.3">
      <c r="A6" s="9"/>
      <c r="B6" s="7"/>
      <c r="C6" s="7"/>
      <c r="D6" s="7"/>
      <c r="E6" s="7"/>
      <c r="F6" s="8"/>
      <c r="G6" s="8"/>
    </row>
    <row r="7" spans="1:7" ht="40.5" x14ac:dyDescent="0.3">
      <c r="A7" s="10" t="s">
        <v>30</v>
      </c>
      <c r="B7" s="7">
        <v>108.8</v>
      </c>
      <c r="C7" s="7">
        <v>104</v>
      </c>
      <c r="D7" s="7">
        <v>107.5</v>
      </c>
      <c r="E7" s="7">
        <v>103.7</v>
      </c>
      <c r="F7" s="8"/>
      <c r="G7" s="8"/>
    </row>
    <row r="8" spans="1:7" ht="20.25" x14ac:dyDescent="0.3">
      <c r="A8" s="11" t="s">
        <v>23</v>
      </c>
      <c r="B8" s="7">
        <v>106.1</v>
      </c>
      <c r="C8" s="7">
        <v>104.8</v>
      </c>
      <c r="D8" s="7">
        <v>104.4</v>
      </c>
      <c r="E8" s="7">
        <v>103.3</v>
      </c>
      <c r="F8" s="8"/>
      <c r="G8" s="8"/>
    </row>
    <row r="9" spans="1:7" ht="20.25" x14ac:dyDescent="0.3">
      <c r="A9" s="11" t="s">
        <v>24</v>
      </c>
      <c r="B9" s="7">
        <v>109.7</v>
      </c>
      <c r="C9" s="7">
        <v>101.7</v>
      </c>
      <c r="D9" s="7">
        <v>109.1</v>
      </c>
      <c r="E9" s="7">
        <v>101.8</v>
      </c>
      <c r="F9" s="8"/>
      <c r="G9" s="8"/>
    </row>
    <row r="10" spans="1:7" ht="20.25" x14ac:dyDescent="0.3">
      <c r="A10" s="11" t="s">
        <v>25</v>
      </c>
      <c r="B10" s="7">
        <v>111.6</v>
      </c>
      <c r="C10" s="7">
        <v>106</v>
      </c>
      <c r="D10" s="7">
        <v>109.5</v>
      </c>
      <c r="E10" s="7">
        <v>106.9</v>
      </c>
      <c r="F10" s="8"/>
      <c r="G10" s="8"/>
    </row>
    <row r="11" spans="1:7" ht="20.25" x14ac:dyDescent="0.3">
      <c r="A11" s="12"/>
      <c r="B11" s="7"/>
      <c r="C11" s="7"/>
      <c r="D11" s="7"/>
      <c r="E11" s="7"/>
      <c r="F11" s="8"/>
      <c r="G11" s="8"/>
    </row>
    <row r="12" spans="1:7" ht="60.75" x14ac:dyDescent="0.3">
      <c r="A12" s="13" t="s">
        <v>31</v>
      </c>
      <c r="B12" s="7">
        <v>21483.9</v>
      </c>
      <c r="C12" s="7">
        <f>1764.6+1825.9+2142.3+2122.3+2088.6</f>
        <v>9943.7000000000007</v>
      </c>
      <c r="D12" s="7">
        <v>859.01610000000005</v>
      </c>
      <c r="E12" s="7">
        <v>398.32549999999998</v>
      </c>
      <c r="F12" s="8">
        <f>E12/C12*100</f>
        <v>4.0058076973360013</v>
      </c>
      <c r="G12" s="8">
        <f>E12/C12*100</f>
        <v>4.0058076973360013</v>
      </c>
    </row>
    <row r="13" spans="1:7" ht="20.25" x14ac:dyDescent="0.3">
      <c r="A13" s="12"/>
      <c r="B13" s="7"/>
      <c r="C13" s="7"/>
      <c r="D13" s="7"/>
      <c r="E13" s="7"/>
      <c r="F13" s="8"/>
      <c r="G13" s="8"/>
    </row>
    <row r="14" spans="1:7" ht="40.5" x14ac:dyDescent="0.3">
      <c r="A14" s="14" t="s">
        <v>32</v>
      </c>
      <c r="B14" s="7">
        <v>89.2</v>
      </c>
      <c r="C14" s="7">
        <v>110.3</v>
      </c>
      <c r="D14" s="7">
        <v>92.3</v>
      </c>
      <c r="E14" s="7">
        <v>108</v>
      </c>
      <c r="F14" s="8"/>
      <c r="G14" s="8"/>
    </row>
    <row r="15" spans="1:7" ht="20.25" x14ac:dyDescent="0.3">
      <c r="A15" s="11" t="s">
        <v>26</v>
      </c>
      <c r="B15" s="7">
        <v>98.8</v>
      </c>
      <c r="C15" s="7">
        <v>106</v>
      </c>
      <c r="D15" s="7">
        <v>100.6</v>
      </c>
      <c r="E15" s="7">
        <v>100.2</v>
      </c>
      <c r="F15" s="8"/>
      <c r="G15" s="8"/>
    </row>
    <row r="16" spans="1:7" ht="20.25" x14ac:dyDescent="0.3">
      <c r="A16" s="11" t="s">
        <v>27</v>
      </c>
      <c r="B16" s="7">
        <v>84</v>
      </c>
      <c r="C16" s="7">
        <v>114.4</v>
      </c>
      <c r="D16" s="7">
        <v>86.8</v>
      </c>
      <c r="E16" s="7">
        <v>114.8</v>
      </c>
      <c r="F16" s="8"/>
      <c r="G16" s="8"/>
    </row>
    <row r="17" spans="1:13" ht="40.5" x14ac:dyDescent="0.3">
      <c r="A17" s="11" t="s">
        <v>28</v>
      </c>
      <c r="B17" s="7">
        <v>95.2</v>
      </c>
      <c r="C17" s="7">
        <v>106</v>
      </c>
      <c r="D17" s="7">
        <v>90.5</v>
      </c>
      <c r="E17" s="7">
        <v>108.8</v>
      </c>
      <c r="F17" s="8"/>
      <c r="G17" s="8"/>
    </row>
    <row r="18" spans="1:13" ht="20.25" x14ac:dyDescent="0.3">
      <c r="A18" s="14"/>
      <c r="B18" s="7"/>
      <c r="C18" s="7"/>
      <c r="D18" s="7"/>
      <c r="E18" s="7"/>
      <c r="F18" s="8"/>
      <c r="G18" s="8"/>
    </row>
    <row r="19" spans="1:13" ht="40.5" x14ac:dyDescent="0.3">
      <c r="A19" s="14" t="s">
        <v>34</v>
      </c>
      <c r="B19" s="7"/>
      <c r="C19" s="7"/>
      <c r="D19" s="7"/>
      <c r="E19" s="7"/>
      <c r="F19" s="8"/>
      <c r="G19" s="8"/>
    </row>
    <row r="20" spans="1:13" ht="23.25" x14ac:dyDescent="0.35">
      <c r="A20" s="11" t="s">
        <v>6</v>
      </c>
      <c r="B20" s="7">
        <v>494</v>
      </c>
      <c r="C20" s="7">
        <f>81.2+42.8+41.3+38.7</f>
        <v>204</v>
      </c>
      <c r="D20" s="7">
        <v>32.4</v>
      </c>
      <c r="E20" s="7">
        <v>13.4</v>
      </c>
      <c r="F20" s="8">
        <f>D20/B20*100</f>
        <v>6.5587044534412957</v>
      </c>
      <c r="G20" s="8">
        <f>E20/C20*100</f>
        <v>6.5686274509803928</v>
      </c>
      <c r="I20" s="4"/>
      <c r="J20" s="28"/>
    </row>
    <row r="21" spans="1:13" ht="20.25" x14ac:dyDescent="0.3">
      <c r="A21" s="11" t="s">
        <v>7</v>
      </c>
      <c r="B21" s="7">
        <v>35800</v>
      </c>
      <c r="C21" s="7">
        <f>3100+5800+2800+2900</f>
        <v>14600</v>
      </c>
      <c r="D21" s="7">
        <v>618.4</v>
      </c>
      <c r="E21" s="7">
        <v>287.10000000000002</v>
      </c>
      <c r="F21" s="8">
        <f t="shared" ref="F21:G29" si="0">D21/B21*100</f>
        <v>1.7273743016759775</v>
      </c>
      <c r="G21" s="8">
        <f t="shared" si="0"/>
        <v>1.9664383561643837</v>
      </c>
      <c r="I21" s="4"/>
    </row>
    <row r="22" spans="1:13" ht="20.25" x14ac:dyDescent="0.3">
      <c r="A22" s="11" t="s">
        <v>8</v>
      </c>
      <c r="B22" s="7">
        <v>971</v>
      </c>
      <c r="C22" s="7">
        <f>101+181.3+97.4+96</f>
        <v>475.70000000000005</v>
      </c>
      <c r="D22" s="7">
        <v>407.3</v>
      </c>
      <c r="E22" s="7">
        <v>197.4</v>
      </c>
      <c r="F22" s="8">
        <f t="shared" si="0"/>
        <v>41.946446961894956</v>
      </c>
      <c r="G22" s="8">
        <f t="shared" si="0"/>
        <v>41.496741643893209</v>
      </c>
      <c r="I22" s="4"/>
    </row>
    <row r="23" spans="1:13" ht="20.25" x14ac:dyDescent="0.3">
      <c r="A23" s="11" t="s">
        <v>49</v>
      </c>
      <c r="B23" s="7">
        <v>1411</v>
      </c>
      <c r="C23" s="7">
        <f>158+268+137+132</f>
        <v>695</v>
      </c>
      <c r="D23" s="7">
        <v>731.9</v>
      </c>
      <c r="E23" s="7">
        <v>338.3</v>
      </c>
      <c r="F23" s="8">
        <f t="shared" si="0"/>
        <v>51.871013465627215</v>
      </c>
      <c r="G23" s="8">
        <f t="shared" si="0"/>
        <v>48.676258992805757</v>
      </c>
      <c r="I23" s="4"/>
      <c r="M23" s="15"/>
    </row>
    <row r="24" spans="1:13" ht="20.25" x14ac:dyDescent="0.3">
      <c r="A24" s="11" t="s">
        <v>40</v>
      </c>
      <c r="B24" s="7">
        <v>27.995000000000001</v>
      </c>
      <c r="C24" s="7">
        <f>7.4+2.818+2.708</f>
        <v>12.926</v>
      </c>
      <c r="D24" s="7">
        <v>9.4</v>
      </c>
      <c r="E24" s="7">
        <v>4.3</v>
      </c>
      <c r="F24" s="8">
        <f t="shared" si="0"/>
        <v>33.577424540096445</v>
      </c>
      <c r="G24" s="8">
        <f t="shared" si="0"/>
        <v>33.266285006962711</v>
      </c>
      <c r="I24" s="4"/>
      <c r="M24" s="15"/>
    </row>
    <row r="25" spans="1:13" ht="20.25" x14ac:dyDescent="0.3">
      <c r="A25" s="11" t="s">
        <v>10</v>
      </c>
      <c r="B25" s="7">
        <v>91.4</v>
      </c>
      <c r="C25" s="7">
        <f>11.2+11.9+12.4+10.4</f>
        <v>45.9</v>
      </c>
      <c r="D25" s="7">
        <v>27.9</v>
      </c>
      <c r="E25" s="7">
        <v>12.211</v>
      </c>
      <c r="F25" s="8">
        <f t="shared" si="0"/>
        <v>30.525164113785554</v>
      </c>
      <c r="G25" s="8">
        <f t="shared" si="0"/>
        <v>26.603485838779957</v>
      </c>
      <c r="I25" s="4"/>
      <c r="M25" s="15"/>
    </row>
    <row r="26" spans="1:13" ht="20.25" x14ac:dyDescent="0.3">
      <c r="A26" s="11" t="s">
        <v>11</v>
      </c>
      <c r="B26" s="7">
        <v>597</v>
      </c>
      <c r="C26" s="7">
        <f>85+103.3+93.7+96.5</f>
        <v>378.5</v>
      </c>
      <c r="D26" s="7">
        <v>5.4</v>
      </c>
      <c r="E26" s="7">
        <v>1.5609999999999999</v>
      </c>
      <c r="F26" s="8">
        <f t="shared" si="0"/>
        <v>0.90452261306532677</v>
      </c>
      <c r="G26" s="8">
        <f t="shared" si="0"/>
        <v>0.41241743725231178</v>
      </c>
      <c r="I26" s="4"/>
    </row>
    <row r="27" spans="1:13" ht="20.25" x14ac:dyDescent="0.3">
      <c r="A27" s="11" t="s">
        <v>19</v>
      </c>
      <c r="B27" s="7">
        <v>3923</v>
      </c>
      <c r="C27" s="7">
        <f>393+712+363+389</f>
        <v>1857</v>
      </c>
      <c r="D27" s="7">
        <v>56.7</v>
      </c>
      <c r="E27" s="7">
        <v>45.7</v>
      </c>
      <c r="F27" s="8">
        <f t="shared" si="0"/>
        <v>1.4453224573030843</v>
      </c>
      <c r="G27" s="8">
        <f t="shared" si="0"/>
        <v>2.4609585352719439</v>
      </c>
    </row>
    <row r="28" spans="1:13" ht="20.25" x14ac:dyDescent="0.3">
      <c r="A28" s="11" t="s">
        <v>18</v>
      </c>
      <c r="B28" s="7">
        <v>3450</v>
      </c>
      <c r="C28" s="7">
        <f>271+492+250+244</f>
        <v>1257</v>
      </c>
      <c r="D28" s="7">
        <v>153.9</v>
      </c>
      <c r="E28" s="7">
        <v>40.4</v>
      </c>
      <c r="F28" s="8">
        <f t="shared" si="0"/>
        <v>4.4608695652173918</v>
      </c>
      <c r="G28" s="8">
        <f t="shared" si="0"/>
        <v>3.2140015910898962</v>
      </c>
    </row>
    <row r="29" spans="1:13" ht="20.25" x14ac:dyDescent="0.3">
      <c r="A29" s="11" t="s">
        <v>12</v>
      </c>
      <c r="B29" s="7">
        <v>929</v>
      </c>
      <c r="C29" s="7">
        <f>85.6+142.8+89.9+90.1</f>
        <v>408.4</v>
      </c>
      <c r="D29" s="7">
        <v>112</v>
      </c>
      <c r="E29" s="7">
        <v>50.4</v>
      </c>
      <c r="F29" s="8">
        <f t="shared" si="0"/>
        <v>12.055974165769644</v>
      </c>
      <c r="G29" s="8">
        <f t="shared" si="0"/>
        <v>12.340842311459353</v>
      </c>
    </row>
    <row r="30" spans="1:13" ht="20.25" x14ac:dyDescent="0.3">
      <c r="A30" s="14"/>
      <c r="B30" s="7"/>
      <c r="C30" s="7"/>
      <c r="D30" s="7"/>
      <c r="E30" s="7"/>
      <c r="F30" s="8"/>
      <c r="G30" s="8"/>
    </row>
    <row r="31" spans="1:13" ht="40.5" x14ac:dyDescent="0.3">
      <c r="A31" s="13" t="s">
        <v>35</v>
      </c>
      <c r="B31" s="7">
        <v>113.9</v>
      </c>
      <c r="C31" s="7">
        <v>108.9</v>
      </c>
      <c r="D31" s="7">
        <v>128.5</v>
      </c>
      <c r="E31" s="7">
        <v>103</v>
      </c>
      <c r="F31" s="8"/>
      <c r="G31" s="8"/>
    </row>
    <row r="32" spans="1:13" ht="20.25" x14ac:dyDescent="0.3">
      <c r="A32" s="13"/>
      <c r="B32" s="7"/>
      <c r="C32" s="7"/>
      <c r="D32" s="7"/>
      <c r="E32" s="7"/>
      <c r="F32" s="8"/>
      <c r="G32" s="8"/>
    </row>
    <row r="33" spans="1:7" ht="40.5" x14ac:dyDescent="0.3">
      <c r="A33" s="17" t="s">
        <v>36</v>
      </c>
      <c r="B33" s="7">
        <v>2551.6999999999998</v>
      </c>
      <c r="C33" s="7">
        <v>541.9</v>
      </c>
      <c r="D33" s="7">
        <v>119.1283</v>
      </c>
      <c r="E33" s="7">
        <v>37.7286</v>
      </c>
      <c r="F33" s="8">
        <f t="shared" ref="F33:G51" si="1">D33/B33*100</f>
        <v>4.6685856487831643</v>
      </c>
      <c r="G33" s="8">
        <f t="shared" si="1"/>
        <v>6.962280863627976</v>
      </c>
    </row>
    <row r="34" spans="1:7" ht="20.25" x14ac:dyDescent="0.3">
      <c r="A34" s="6" t="s">
        <v>2</v>
      </c>
      <c r="B34" s="7">
        <v>101.2</v>
      </c>
      <c r="C34" s="7">
        <v>103.5</v>
      </c>
      <c r="D34" s="7">
        <v>100.1</v>
      </c>
      <c r="E34" s="7">
        <v>105.8</v>
      </c>
      <c r="F34" s="8"/>
      <c r="G34" s="8"/>
    </row>
    <row r="35" spans="1:7" ht="20.25" x14ac:dyDescent="0.3">
      <c r="A35" s="6"/>
      <c r="B35" s="7"/>
      <c r="C35" s="7"/>
      <c r="D35" s="7"/>
      <c r="E35" s="7"/>
      <c r="F35" s="8"/>
      <c r="G35" s="8"/>
    </row>
    <row r="36" spans="1:7" ht="40.5" x14ac:dyDescent="0.3">
      <c r="A36" s="17" t="s">
        <v>37</v>
      </c>
      <c r="B36" s="7">
        <v>3869.1</v>
      </c>
      <c r="C36" s="7">
        <v>1169.5999999999999</v>
      </c>
      <c r="D36" s="7">
        <v>184.07130000000001</v>
      </c>
      <c r="E36" s="7">
        <v>40.102600000000002</v>
      </c>
      <c r="F36" s="8">
        <f t="shared" si="1"/>
        <v>4.7574707296270455</v>
      </c>
      <c r="G36" s="8">
        <f t="shared" si="1"/>
        <v>3.4287448700410401</v>
      </c>
    </row>
    <row r="37" spans="1:7" ht="20.25" x14ac:dyDescent="0.3">
      <c r="A37" s="6" t="s">
        <v>2</v>
      </c>
      <c r="B37" s="7">
        <v>84</v>
      </c>
      <c r="C37" s="7">
        <v>94.9</v>
      </c>
      <c r="D37" s="7">
        <v>104.5</v>
      </c>
      <c r="E37" s="7">
        <v>104.5</v>
      </c>
      <c r="F37" s="8"/>
      <c r="G37" s="8"/>
    </row>
    <row r="38" spans="1:7" ht="20.25" x14ac:dyDescent="0.3">
      <c r="A38" s="9"/>
      <c r="B38" s="7"/>
      <c r="C38" s="7"/>
      <c r="D38" s="7"/>
      <c r="E38" s="7"/>
      <c r="F38" s="8"/>
      <c r="G38" s="8"/>
    </row>
    <row r="39" spans="1:7" ht="20.25" x14ac:dyDescent="0.3">
      <c r="A39" s="17" t="s">
        <v>38</v>
      </c>
      <c r="B39" s="7">
        <v>180.1</v>
      </c>
      <c r="C39" s="7">
        <f>57.4+15.6</f>
        <v>73</v>
      </c>
      <c r="D39" s="7">
        <v>2.3668</v>
      </c>
      <c r="E39" s="7"/>
      <c r="F39" s="8">
        <f t="shared" si="1"/>
        <v>1.3141588006662965</v>
      </c>
      <c r="G39" s="8">
        <f t="shared" si="1"/>
        <v>0</v>
      </c>
    </row>
    <row r="40" spans="1:7" ht="20.25" x14ac:dyDescent="0.3">
      <c r="A40" s="6" t="s">
        <v>2</v>
      </c>
      <c r="B40" s="7">
        <v>83.3</v>
      </c>
      <c r="C40" s="7">
        <v>108.6</v>
      </c>
      <c r="D40" s="7">
        <v>89.8</v>
      </c>
      <c r="E40" s="7">
        <v>107.1</v>
      </c>
      <c r="F40" s="8"/>
      <c r="G40" s="8"/>
    </row>
    <row r="41" spans="1:7" ht="20.25" x14ac:dyDescent="0.3">
      <c r="A41" s="9"/>
      <c r="B41" s="19"/>
      <c r="C41" s="19"/>
      <c r="D41" s="18"/>
      <c r="E41" s="18"/>
      <c r="F41" s="8"/>
      <c r="G41" s="8"/>
    </row>
    <row r="42" spans="1:7" ht="60.75" x14ac:dyDescent="0.3">
      <c r="A42" s="13" t="s">
        <v>58</v>
      </c>
      <c r="B42" s="7">
        <v>7539.9</v>
      </c>
      <c r="C42" s="7">
        <f>737.9+500.2+521.2+632.2</f>
        <v>2391.5</v>
      </c>
      <c r="D42" s="7">
        <v>267.8</v>
      </c>
      <c r="E42" s="7" t="s">
        <v>86</v>
      </c>
      <c r="F42" s="8">
        <f>D42/7539.9*100</f>
        <v>3.5517712436504465</v>
      </c>
      <c r="G42" s="8"/>
    </row>
    <row r="43" spans="1:7" ht="20.25" x14ac:dyDescent="0.3">
      <c r="A43" s="20" t="s">
        <v>2</v>
      </c>
      <c r="B43" s="7">
        <v>83</v>
      </c>
      <c r="C43" s="7">
        <v>99.6</v>
      </c>
      <c r="D43" s="7">
        <v>93.3</v>
      </c>
      <c r="E43" s="7" t="s">
        <v>85</v>
      </c>
      <c r="F43" s="8"/>
      <c r="G43" s="8"/>
    </row>
    <row r="44" spans="1:7" ht="20.25" x14ac:dyDescent="0.3">
      <c r="A44" s="12"/>
      <c r="B44" s="7"/>
      <c r="C44" s="7"/>
      <c r="D44" s="7"/>
      <c r="E44" s="7"/>
      <c r="F44" s="8"/>
      <c r="G44" s="8"/>
    </row>
    <row r="45" spans="1:7" ht="40.5" x14ac:dyDescent="0.3">
      <c r="A45" s="21" t="s">
        <v>14</v>
      </c>
      <c r="B45" s="7">
        <v>59800</v>
      </c>
      <c r="C45" s="7">
        <v>16500</v>
      </c>
      <c r="D45" s="7">
        <v>2010.2</v>
      </c>
      <c r="E45" s="7">
        <v>796.4</v>
      </c>
      <c r="F45" s="8">
        <f t="shared" si="1"/>
        <v>3.3615384615384616</v>
      </c>
      <c r="G45" s="8">
        <f t="shared" si="1"/>
        <v>4.8266666666666662</v>
      </c>
    </row>
    <row r="46" spans="1:7" ht="20.25" x14ac:dyDescent="0.3">
      <c r="A46" s="6" t="s">
        <v>3</v>
      </c>
      <c r="B46" s="7">
        <v>93.3</v>
      </c>
      <c r="C46" s="7">
        <v>98.7</v>
      </c>
      <c r="D46" s="7">
        <v>90.4</v>
      </c>
      <c r="E46" s="7">
        <v>81.099999999999994</v>
      </c>
      <c r="F46" s="8"/>
      <c r="G46" s="8"/>
    </row>
    <row r="47" spans="1:7" ht="20.25" x14ac:dyDescent="0.3">
      <c r="A47" s="9"/>
      <c r="B47" s="7"/>
      <c r="C47" s="7"/>
      <c r="D47" s="7"/>
      <c r="E47" s="7"/>
      <c r="F47" s="8"/>
      <c r="G47" s="8"/>
    </row>
    <row r="48" spans="1:7" ht="40.5" x14ac:dyDescent="0.3">
      <c r="A48" s="13" t="s">
        <v>15</v>
      </c>
      <c r="B48" s="7">
        <v>14516.9</v>
      </c>
      <c r="C48" s="7">
        <v>6204</v>
      </c>
      <c r="D48" s="7">
        <v>393.90359999999998</v>
      </c>
      <c r="E48" s="7">
        <v>171.297</v>
      </c>
      <c r="F48" s="8">
        <f t="shared" si="1"/>
        <v>2.713414020899779</v>
      </c>
      <c r="G48" s="8">
        <f t="shared" si="1"/>
        <v>2.7610735009671177</v>
      </c>
    </row>
    <row r="49" spans="1:7" ht="20.25" x14ac:dyDescent="0.3">
      <c r="A49" s="6" t="s">
        <v>2</v>
      </c>
      <c r="B49" s="7">
        <v>94.5</v>
      </c>
      <c r="C49" s="7">
        <v>102.9</v>
      </c>
      <c r="D49" s="7">
        <v>97.9</v>
      </c>
      <c r="E49" s="7">
        <v>106.4</v>
      </c>
      <c r="F49" s="8"/>
      <c r="G49" s="8"/>
    </row>
    <row r="50" spans="1:7" ht="20.25" x14ac:dyDescent="0.3">
      <c r="A50" s="9"/>
      <c r="B50" s="18"/>
      <c r="C50" s="18"/>
      <c r="D50" s="7"/>
      <c r="E50" s="7"/>
      <c r="F50" s="8"/>
      <c r="G50" s="8"/>
    </row>
    <row r="51" spans="1:7" ht="40.5" x14ac:dyDescent="0.3">
      <c r="A51" s="13" t="s">
        <v>16</v>
      </c>
      <c r="B51" s="7">
        <v>4413.7</v>
      </c>
      <c r="C51" s="7">
        <f>1515.2+385.7</f>
        <v>1900.9</v>
      </c>
      <c r="D51" s="7">
        <v>128.7988</v>
      </c>
      <c r="E51" s="7">
        <v>60.177100000000003</v>
      </c>
      <c r="F51" s="8">
        <f t="shared" si="1"/>
        <v>2.9181593674241566</v>
      </c>
      <c r="G51" s="8">
        <f t="shared" si="1"/>
        <v>3.1657162396759428</v>
      </c>
    </row>
    <row r="52" spans="1:7" ht="20.25" x14ac:dyDescent="0.3">
      <c r="A52" s="6" t="s">
        <v>2</v>
      </c>
      <c r="B52" s="7">
        <v>95.7</v>
      </c>
      <c r="C52" s="7">
        <v>100.1</v>
      </c>
      <c r="D52" s="7">
        <v>94.8</v>
      </c>
      <c r="E52" s="7">
        <v>101</v>
      </c>
      <c r="F52" s="8"/>
      <c r="G52" s="8"/>
    </row>
    <row r="53" spans="1:7" ht="20.25" x14ac:dyDescent="0.3">
      <c r="A53" s="9"/>
      <c r="B53" s="7"/>
      <c r="C53" s="7"/>
      <c r="D53" s="7"/>
      <c r="E53" s="7"/>
      <c r="F53" s="8"/>
      <c r="G53" s="8"/>
    </row>
    <row r="54" spans="1:7" ht="40.5" x14ac:dyDescent="0.3">
      <c r="A54" s="13" t="s">
        <v>5</v>
      </c>
      <c r="B54" s="7">
        <v>97.2</v>
      </c>
      <c r="C54" s="7">
        <v>104.4</v>
      </c>
      <c r="D54" s="7">
        <v>92.8</v>
      </c>
      <c r="E54" s="7">
        <v>106.6</v>
      </c>
      <c r="F54" s="8"/>
      <c r="G54" s="8"/>
    </row>
    <row r="55" spans="1:7" ht="20.25" x14ac:dyDescent="0.3">
      <c r="A55" s="13"/>
      <c r="B55" s="7"/>
      <c r="C55" s="7"/>
      <c r="D55" s="7"/>
      <c r="E55" s="7"/>
      <c r="F55" s="8"/>
      <c r="G55" s="8"/>
    </row>
    <row r="56" spans="1:7" ht="40.5" x14ac:dyDescent="0.3">
      <c r="A56" s="13" t="s">
        <v>17</v>
      </c>
      <c r="B56" s="7">
        <v>18785</v>
      </c>
      <c r="C56" s="7">
        <v>19870</v>
      </c>
      <c r="D56" s="7">
        <v>15206.9</v>
      </c>
      <c r="E56" s="7">
        <v>16064.7</v>
      </c>
      <c r="F56" s="8"/>
      <c r="G56" s="8"/>
    </row>
    <row r="57" spans="1:7" ht="20.25" x14ac:dyDescent="0.3">
      <c r="A57" s="6" t="s">
        <v>3</v>
      </c>
      <c r="B57" s="7">
        <v>108.5</v>
      </c>
      <c r="C57" s="7">
        <v>111.4</v>
      </c>
      <c r="D57" s="7">
        <v>102</v>
      </c>
      <c r="E57" s="7">
        <v>113.7</v>
      </c>
      <c r="F57" s="8"/>
      <c r="G57" s="8"/>
    </row>
    <row r="58" spans="1:7" ht="20.25" x14ac:dyDescent="0.3">
      <c r="A58" s="9"/>
      <c r="B58" s="7"/>
      <c r="C58" s="7"/>
      <c r="D58" s="7"/>
      <c r="E58" s="7"/>
      <c r="F58" s="8"/>
      <c r="G58" s="8"/>
    </row>
    <row r="59" spans="1:7" ht="20.25" x14ac:dyDescent="0.3">
      <c r="A59" s="13" t="s">
        <v>4</v>
      </c>
      <c r="B59" s="7">
        <v>16818</v>
      </c>
      <c r="C59" s="7">
        <v>17975</v>
      </c>
      <c r="D59" s="7">
        <v>15522.7</v>
      </c>
      <c r="E59" s="7">
        <v>16210.8</v>
      </c>
      <c r="F59" s="8"/>
      <c r="G59" s="8"/>
    </row>
    <row r="60" spans="1:7" ht="20.25" x14ac:dyDescent="0.3">
      <c r="A60" s="6" t="s">
        <v>3</v>
      </c>
      <c r="B60" s="7">
        <v>112.6</v>
      </c>
      <c r="C60" s="7">
        <v>112.5</v>
      </c>
      <c r="D60" s="7">
        <v>109.5</v>
      </c>
      <c r="E60" s="7">
        <v>115.2</v>
      </c>
      <c r="F60" s="8"/>
      <c r="G60" s="8"/>
    </row>
    <row r="61" spans="1:7" ht="20.25" x14ac:dyDescent="0.3">
      <c r="A61" s="9"/>
      <c r="B61" s="7"/>
      <c r="C61" s="7"/>
      <c r="D61" s="7"/>
      <c r="E61" s="7"/>
      <c r="F61" s="8"/>
      <c r="G61" s="8"/>
    </row>
    <row r="62" spans="1:7" ht="41.25" thickBot="1" x14ac:dyDescent="0.35">
      <c r="A62" s="22" t="s">
        <v>39</v>
      </c>
      <c r="B62" s="23">
        <v>2.76</v>
      </c>
      <c r="C62" s="23">
        <v>2.64</v>
      </c>
      <c r="D62" s="23">
        <v>2.8</v>
      </c>
      <c r="E62" s="23">
        <v>3</v>
      </c>
      <c r="F62" s="24"/>
      <c r="G62" s="24"/>
    </row>
    <row r="63" spans="1:7" ht="18.75" thickTop="1" x14ac:dyDescent="0.25">
      <c r="A63" s="25"/>
    </row>
    <row r="64" spans="1:7" ht="18" x14ac:dyDescent="0.25">
      <c r="A64" s="25" t="s">
        <v>42</v>
      </c>
    </row>
    <row r="65" spans="1:1" ht="18" x14ac:dyDescent="0.25">
      <c r="A65" s="25" t="s">
        <v>84</v>
      </c>
    </row>
    <row r="66" spans="1:1" ht="18" x14ac:dyDescent="0.25">
      <c r="A66" s="25" t="s">
        <v>89</v>
      </c>
    </row>
    <row r="72" spans="1:1" ht="15.75" x14ac:dyDescent="0.3">
      <c r="A72" s="26"/>
    </row>
    <row r="74" spans="1:1" x14ac:dyDescent="0.25">
      <c r="A74" s="27"/>
    </row>
  </sheetData>
  <mergeCells count="5">
    <mergeCell ref="A1:G1"/>
    <mergeCell ref="A2:A3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60" zoomScaleNormal="60" workbookViewId="0">
      <selection activeCell="C8" sqref="C8"/>
    </sheetView>
  </sheetViews>
  <sheetFormatPr defaultColWidth="13.140625" defaultRowHeight="15" x14ac:dyDescent="0.25"/>
  <cols>
    <col min="1" max="1" width="97.7109375" style="1" customWidth="1"/>
    <col min="2" max="2" width="23.7109375" style="1" customWidth="1"/>
    <col min="3" max="3" width="31.28515625" style="1" customWidth="1"/>
    <col min="4" max="4" width="24.42578125" style="1" customWidth="1"/>
    <col min="5" max="5" width="30.140625" style="1" customWidth="1"/>
    <col min="6" max="6" width="23.28515625" style="1" customWidth="1"/>
    <col min="7" max="7" width="28.7109375" style="1" customWidth="1"/>
    <col min="8" max="16384" width="13.140625" style="1"/>
  </cols>
  <sheetData>
    <row r="1" spans="1:7" ht="27" thickBot="1" x14ac:dyDescent="0.3">
      <c r="A1" s="36" t="s">
        <v>21</v>
      </c>
      <c r="B1" s="36"/>
      <c r="C1" s="36"/>
      <c r="D1" s="36"/>
      <c r="E1" s="36"/>
      <c r="F1" s="36"/>
      <c r="G1" s="36"/>
    </row>
    <row r="2" spans="1:7" ht="21" thickTop="1" x14ac:dyDescent="0.25">
      <c r="A2" s="37" t="s">
        <v>0</v>
      </c>
      <c r="B2" s="37" t="s">
        <v>1</v>
      </c>
      <c r="C2" s="37"/>
      <c r="D2" s="37" t="s">
        <v>22</v>
      </c>
      <c r="E2" s="37"/>
      <c r="F2" s="39" t="s">
        <v>29</v>
      </c>
      <c r="G2" s="39"/>
    </row>
    <row r="3" spans="1:7" ht="41.25" thickBot="1" x14ac:dyDescent="0.3">
      <c r="A3" s="38"/>
      <c r="B3" s="2" t="s">
        <v>33</v>
      </c>
      <c r="C3" s="2" t="s">
        <v>90</v>
      </c>
      <c r="D3" s="2" t="s">
        <v>33</v>
      </c>
      <c r="E3" s="2" t="s">
        <v>90</v>
      </c>
      <c r="F3" s="2" t="s">
        <v>33</v>
      </c>
      <c r="G3" s="2" t="s">
        <v>91</v>
      </c>
    </row>
    <row r="4" spans="1:7" ht="41.25" thickTop="1" x14ac:dyDescent="0.3">
      <c r="A4" s="3" t="s">
        <v>20</v>
      </c>
      <c r="B4" s="4" t="s">
        <v>66</v>
      </c>
      <c r="C4" s="30"/>
      <c r="D4" s="4">
        <v>878.02359999999999</v>
      </c>
      <c r="E4" s="4" t="s">
        <v>92</v>
      </c>
      <c r="F4" s="5">
        <v>2.7</v>
      </c>
      <c r="G4" s="5">
        <f>210.7/9862*100</f>
        <v>2.1364834719123911</v>
      </c>
    </row>
    <row r="5" spans="1:7" ht="20.25" x14ac:dyDescent="0.3">
      <c r="A5" s="6" t="s">
        <v>2</v>
      </c>
      <c r="B5" s="7" t="s">
        <v>44</v>
      </c>
      <c r="C5" s="7">
        <v>104</v>
      </c>
      <c r="D5" s="7">
        <v>95.8</v>
      </c>
      <c r="E5" s="7" t="s">
        <v>88</v>
      </c>
      <c r="F5" s="8"/>
      <c r="G5" s="8"/>
    </row>
    <row r="6" spans="1:7" ht="20.25" x14ac:dyDescent="0.3">
      <c r="A6" s="9"/>
      <c r="B6" s="7"/>
      <c r="C6" s="7"/>
      <c r="D6" s="7"/>
      <c r="E6" s="7"/>
      <c r="F6" s="8"/>
      <c r="G6" s="8"/>
    </row>
    <row r="7" spans="1:7" ht="40.5" x14ac:dyDescent="0.3">
      <c r="A7" s="10" t="s">
        <v>30</v>
      </c>
      <c r="B7" s="7">
        <v>108.8</v>
      </c>
      <c r="C7" s="7">
        <v>104.4</v>
      </c>
      <c r="D7" s="7">
        <v>107.5</v>
      </c>
      <c r="E7" s="7">
        <v>104</v>
      </c>
      <c r="F7" s="8"/>
      <c r="G7" s="8"/>
    </row>
    <row r="8" spans="1:7" ht="20.25" x14ac:dyDescent="0.3">
      <c r="A8" s="11" t="s">
        <v>23</v>
      </c>
      <c r="B8" s="7">
        <v>106.1</v>
      </c>
      <c r="C8" s="7">
        <v>105.4</v>
      </c>
      <c r="D8" s="7">
        <v>104.4</v>
      </c>
      <c r="E8" s="7">
        <v>104.1</v>
      </c>
      <c r="F8" s="8"/>
      <c r="G8" s="8"/>
    </row>
    <row r="9" spans="1:7" ht="20.25" x14ac:dyDescent="0.3">
      <c r="A9" s="11" t="s">
        <v>24</v>
      </c>
      <c r="B9" s="7">
        <v>109.7</v>
      </c>
      <c r="C9" s="7">
        <v>101.9</v>
      </c>
      <c r="D9" s="7">
        <v>109.1</v>
      </c>
      <c r="E9" s="7">
        <v>101.8</v>
      </c>
      <c r="F9" s="8"/>
      <c r="G9" s="8"/>
    </row>
    <row r="10" spans="1:7" ht="20.25" x14ac:dyDescent="0.3">
      <c r="A10" s="11" t="s">
        <v>25</v>
      </c>
      <c r="B10" s="7">
        <v>111.6</v>
      </c>
      <c r="C10" s="7">
        <v>106.4</v>
      </c>
      <c r="D10" s="7">
        <v>109.5</v>
      </c>
      <c r="E10" s="7">
        <v>106.9</v>
      </c>
      <c r="F10" s="8"/>
      <c r="G10" s="8"/>
    </row>
    <row r="11" spans="1:7" ht="20.25" x14ac:dyDescent="0.3">
      <c r="A11" s="12"/>
      <c r="B11" s="7"/>
      <c r="C11" s="7"/>
      <c r="D11" s="7"/>
      <c r="E11" s="7"/>
      <c r="F11" s="8"/>
      <c r="G11" s="8"/>
    </row>
    <row r="12" spans="1:7" ht="60.75" x14ac:dyDescent="0.3">
      <c r="A12" s="13" t="s">
        <v>31</v>
      </c>
      <c r="B12" s="7">
        <v>21483.9</v>
      </c>
      <c r="C12" s="7">
        <f>1764.6+1825.9+2142.3+2122.3+2088.6+2145.9</f>
        <v>12089.6</v>
      </c>
      <c r="D12" s="7">
        <v>859.01610000000005</v>
      </c>
      <c r="E12" s="7">
        <v>480.49799999999999</v>
      </c>
      <c r="F12" s="8">
        <f>D12/B12*100</f>
        <v>3.998417885020876</v>
      </c>
      <c r="G12" s="8">
        <f>E12/C12*100</f>
        <v>3.9744739280042349</v>
      </c>
    </row>
    <row r="13" spans="1:7" ht="20.25" x14ac:dyDescent="0.3">
      <c r="A13" s="12"/>
      <c r="B13" s="7"/>
      <c r="C13" s="7"/>
      <c r="D13" s="7"/>
      <c r="E13" s="7"/>
      <c r="F13" s="8"/>
      <c r="G13" s="8"/>
    </row>
    <row r="14" spans="1:7" ht="40.5" x14ac:dyDescent="0.3">
      <c r="A14" s="14" t="s">
        <v>32</v>
      </c>
      <c r="B14" s="7">
        <v>89.2</v>
      </c>
      <c r="C14" s="7">
        <v>110.2</v>
      </c>
      <c r="D14" s="7">
        <v>92.3</v>
      </c>
      <c r="E14" s="7">
        <v>107.9</v>
      </c>
      <c r="F14" s="8"/>
      <c r="G14" s="8"/>
    </row>
    <row r="15" spans="1:7" ht="20.25" x14ac:dyDescent="0.3">
      <c r="A15" s="11" t="s">
        <v>26</v>
      </c>
      <c r="B15" s="7">
        <v>98.8</v>
      </c>
      <c r="C15" s="7">
        <v>105.8</v>
      </c>
      <c r="D15" s="7">
        <v>100.6</v>
      </c>
      <c r="E15" s="7">
        <v>100.2</v>
      </c>
      <c r="F15" s="8"/>
      <c r="G15" s="8"/>
    </row>
    <row r="16" spans="1:7" ht="20.25" x14ac:dyDescent="0.3">
      <c r="A16" s="11" t="s">
        <v>27</v>
      </c>
      <c r="B16" s="7">
        <v>84</v>
      </c>
      <c r="C16" s="7">
        <v>114.3</v>
      </c>
      <c r="D16" s="7">
        <v>86.8</v>
      </c>
      <c r="E16" s="7">
        <v>114.8</v>
      </c>
      <c r="F16" s="8"/>
      <c r="G16" s="8"/>
    </row>
    <row r="17" spans="1:13" ht="40.5" x14ac:dyDescent="0.3">
      <c r="A17" s="11" t="s">
        <v>28</v>
      </c>
      <c r="B17" s="7">
        <v>95.2</v>
      </c>
      <c r="C17" s="7">
        <v>105.6</v>
      </c>
      <c r="D17" s="7">
        <v>90.5</v>
      </c>
      <c r="E17" s="7">
        <v>107.3</v>
      </c>
      <c r="F17" s="8"/>
      <c r="G17" s="8"/>
    </row>
    <row r="18" spans="1:13" ht="20.25" x14ac:dyDescent="0.3">
      <c r="A18" s="14"/>
      <c r="B18" s="7"/>
      <c r="C18" s="7"/>
      <c r="D18" s="7"/>
      <c r="E18" s="7"/>
      <c r="F18" s="8"/>
      <c r="G18" s="8"/>
    </row>
    <row r="19" spans="1:13" ht="40.5" x14ac:dyDescent="0.3">
      <c r="A19" s="14" t="s">
        <v>34</v>
      </c>
      <c r="B19" s="7"/>
      <c r="C19" s="7"/>
      <c r="D19" s="7"/>
      <c r="E19" s="7"/>
      <c r="F19" s="8"/>
      <c r="G19" s="8"/>
    </row>
    <row r="20" spans="1:13" ht="23.25" x14ac:dyDescent="0.35">
      <c r="A20" s="11" t="s">
        <v>6</v>
      </c>
      <c r="B20" s="7">
        <v>494</v>
      </c>
      <c r="C20" s="7">
        <f>81.2+42.8+41.3+38.7+41.5</f>
        <v>245.5</v>
      </c>
      <c r="D20" s="7">
        <v>32.4</v>
      </c>
      <c r="E20" s="7">
        <v>16</v>
      </c>
      <c r="F20" s="8">
        <f>D20/B20*100</f>
        <v>6.5587044534412957</v>
      </c>
      <c r="G20" s="8">
        <f>E20/C20*100</f>
        <v>6.517311608961303</v>
      </c>
      <c r="I20" s="4"/>
      <c r="J20" s="28"/>
    </row>
    <row r="21" spans="1:13" ht="20.25" x14ac:dyDescent="0.3">
      <c r="A21" s="11" t="s">
        <v>7</v>
      </c>
      <c r="B21" s="7">
        <v>35800</v>
      </c>
      <c r="C21" s="7">
        <f>3100+5800+2800+2900+2800</f>
        <v>17400</v>
      </c>
      <c r="D21" s="7">
        <v>618.4</v>
      </c>
      <c r="E21" s="7">
        <v>341.2</v>
      </c>
      <c r="F21" s="8">
        <f t="shared" ref="F21:G29" si="0">D21/B21*100</f>
        <v>1.7273743016759775</v>
      </c>
      <c r="G21" s="8">
        <f t="shared" si="0"/>
        <v>1.9609195402298849</v>
      </c>
      <c r="I21" s="31"/>
    </row>
    <row r="22" spans="1:13" ht="20.25" x14ac:dyDescent="0.3">
      <c r="A22" s="11" t="s">
        <v>8</v>
      </c>
      <c r="B22" s="7">
        <v>971</v>
      </c>
      <c r="C22" s="7">
        <f>101+181.3+97.4+96+92.3</f>
        <v>568</v>
      </c>
      <c r="D22" s="7">
        <v>407.3</v>
      </c>
      <c r="E22" s="7">
        <v>242.2</v>
      </c>
      <c r="F22" s="8">
        <f t="shared" si="0"/>
        <v>41.946446961894956</v>
      </c>
      <c r="G22" s="8">
        <f t="shared" si="0"/>
        <v>42.640845070422536</v>
      </c>
      <c r="I22" s="31"/>
    </row>
    <row r="23" spans="1:13" ht="20.25" x14ac:dyDescent="0.3">
      <c r="A23" s="11" t="s">
        <v>49</v>
      </c>
      <c r="B23" s="7">
        <v>1411</v>
      </c>
      <c r="C23" s="7">
        <f>158+268+137+132+128</f>
        <v>823</v>
      </c>
      <c r="D23" s="7">
        <v>731.9</v>
      </c>
      <c r="E23" s="7">
        <v>406.7</v>
      </c>
      <c r="F23" s="8">
        <f t="shared" si="0"/>
        <v>51.871013465627215</v>
      </c>
      <c r="G23" s="8">
        <f t="shared" si="0"/>
        <v>49.416767922235721</v>
      </c>
      <c r="I23" s="31"/>
      <c r="M23" s="15"/>
    </row>
    <row r="24" spans="1:13" ht="20.25" x14ac:dyDescent="0.3">
      <c r="A24" s="11" t="s">
        <v>40</v>
      </c>
      <c r="B24" s="7">
        <v>27.995000000000001</v>
      </c>
      <c r="C24" s="7">
        <f>7.4+2.818+2.708+3.034</f>
        <v>15.96</v>
      </c>
      <c r="D24" s="7">
        <v>9.4</v>
      </c>
      <c r="E24" s="7">
        <v>5.3</v>
      </c>
      <c r="F24" s="8">
        <f t="shared" si="0"/>
        <v>33.577424540096445</v>
      </c>
      <c r="G24" s="8">
        <f t="shared" si="0"/>
        <v>33.208020050125306</v>
      </c>
      <c r="I24" s="4"/>
      <c r="M24" s="15"/>
    </row>
    <row r="25" spans="1:13" ht="20.25" x14ac:dyDescent="0.3">
      <c r="A25" s="11" t="s">
        <v>10</v>
      </c>
      <c r="B25" s="7">
        <v>91.4</v>
      </c>
      <c r="C25" s="7">
        <f>11.2+11.9+12.4+10.4+14.9</f>
        <v>60.8</v>
      </c>
      <c r="D25" s="7">
        <v>27.9</v>
      </c>
      <c r="E25" s="7">
        <v>19</v>
      </c>
      <c r="F25" s="8">
        <f t="shared" si="0"/>
        <v>30.525164113785554</v>
      </c>
      <c r="G25" s="8">
        <f t="shared" si="0"/>
        <v>31.25</v>
      </c>
      <c r="I25" s="4"/>
      <c r="M25" s="15"/>
    </row>
    <row r="26" spans="1:13" ht="20.25" x14ac:dyDescent="0.3">
      <c r="A26" s="11" t="s">
        <v>11</v>
      </c>
      <c r="B26" s="7">
        <v>597</v>
      </c>
      <c r="C26" s="7">
        <f>85+103.3+93.7+96.5+108</f>
        <v>486.5</v>
      </c>
      <c r="D26" s="7">
        <v>5.4</v>
      </c>
      <c r="E26" s="7">
        <v>2.7</v>
      </c>
      <c r="F26" s="8">
        <f t="shared" si="0"/>
        <v>0.90452261306532677</v>
      </c>
      <c r="G26" s="8">
        <f t="shared" si="0"/>
        <v>0.55498458376156223</v>
      </c>
      <c r="I26" s="4"/>
    </row>
    <row r="27" spans="1:13" ht="20.25" x14ac:dyDescent="0.3">
      <c r="A27" s="11" t="s">
        <v>19</v>
      </c>
      <c r="B27" s="7">
        <v>3923</v>
      </c>
      <c r="C27" s="7">
        <f>393+712+363+389+365</f>
        <v>2222</v>
      </c>
      <c r="D27" s="7">
        <v>56.7</v>
      </c>
      <c r="E27" s="7">
        <v>56.8</v>
      </c>
      <c r="F27" s="8">
        <f t="shared" si="0"/>
        <v>1.4453224573030843</v>
      </c>
      <c r="G27" s="8">
        <f t="shared" si="0"/>
        <v>2.5562556255625561</v>
      </c>
    </row>
    <row r="28" spans="1:13" ht="20.25" x14ac:dyDescent="0.3">
      <c r="A28" s="11" t="s">
        <v>18</v>
      </c>
      <c r="B28" s="7">
        <v>3450</v>
      </c>
      <c r="C28" s="7">
        <f>271+492+250+244+239</f>
        <v>1496</v>
      </c>
      <c r="D28" s="7">
        <v>153.9</v>
      </c>
      <c r="E28" s="7">
        <v>48</v>
      </c>
      <c r="F28" s="8">
        <f t="shared" si="0"/>
        <v>4.4608695652173918</v>
      </c>
      <c r="G28" s="8">
        <f t="shared" si="0"/>
        <v>3.2085561497326207</v>
      </c>
    </row>
    <row r="29" spans="1:13" ht="20.25" x14ac:dyDescent="0.3">
      <c r="A29" s="11" t="s">
        <v>12</v>
      </c>
      <c r="B29" s="7">
        <v>929</v>
      </c>
      <c r="C29" s="7">
        <f>85.6+142.8+89.9+90.1+92</f>
        <v>500.4</v>
      </c>
      <c r="D29" s="7">
        <v>112</v>
      </c>
      <c r="E29" s="7">
        <v>62.1</v>
      </c>
      <c r="F29" s="8">
        <f t="shared" si="0"/>
        <v>12.055974165769644</v>
      </c>
      <c r="G29" s="8">
        <f t="shared" si="0"/>
        <v>12.410071942446043</v>
      </c>
    </row>
    <row r="30" spans="1:13" ht="20.25" x14ac:dyDescent="0.3">
      <c r="A30" s="14"/>
      <c r="B30" s="7"/>
      <c r="C30" s="7"/>
      <c r="D30" s="7"/>
      <c r="E30" s="7"/>
      <c r="F30" s="8"/>
      <c r="G30" s="8"/>
    </row>
    <row r="31" spans="1:13" ht="40.5" x14ac:dyDescent="0.3">
      <c r="A31" s="13" t="s">
        <v>35</v>
      </c>
      <c r="B31" s="7">
        <v>113.9</v>
      </c>
      <c r="C31" s="7">
        <v>105.5</v>
      </c>
      <c r="D31" s="7">
        <v>128.5</v>
      </c>
      <c r="E31" s="7">
        <v>93</v>
      </c>
      <c r="F31" s="8"/>
      <c r="G31" s="8"/>
    </row>
    <row r="32" spans="1:13" ht="20.25" x14ac:dyDescent="0.3">
      <c r="A32" s="13"/>
      <c r="B32" s="7"/>
      <c r="C32" s="7"/>
      <c r="D32" s="7"/>
      <c r="E32" s="7"/>
      <c r="F32" s="8"/>
      <c r="G32" s="8"/>
    </row>
    <row r="33" spans="1:7" ht="40.5" x14ac:dyDescent="0.3">
      <c r="A33" s="17" t="s">
        <v>36</v>
      </c>
      <c r="B33" s="7">
        <v>2551.6999999999998</v>
      </c>
      <c r="C33" s="7">
        <v>691.6</v>
      </c>
      <c r="D33" s="7">
        <v>119.1283</v>
      </c>
      <c r="E33" s="7">
        <v>49.632599999999996</v>
      </c>
      <c r="F33" s="8">
        <f t="shared" ref="F33:G51" si="1">D33/B33*100</f>
        <v>4.6685856487831643</v>
      </c>
      <c r="G33" s="8">
        <f>E33/C33*100</f>
        <v>7.1764893001735093</v>
      </c>
    </row>
    <row r="34" spans="1:7" ht="20.25" x14ac:dyDescent="0.3">
      <c r="A34" s="6" t="s">
        <v>2</v>
      </c>
      <c r="B34" s="7">
        <v>101.2</v>
      </c>
      <c r="C34" s="7">
        <v>102.9</v>
      </c>
      <c r="D34" s="7">
        <v>100.1</v>
      </c>
      <c r="E34" s="7">
        <v>105.2</v>
      </c>
      <c r="F34" s="8"/>
      <c r="G34" s="8"/>
    </row>
    <row r="35" spans="1:7" ht="20.25" x14ac:dyDescent="0.3">
      <c r="A35" s="6"/>
      <c r="B35" s="7"/>
      <c r="C35" s="7"/>
      <c r="D35" s="7"/>
      <c r="E35" s="7"/>
      <c r="F35" s="8"/>
      <c r="G35" s="8"/>
    </row>
    <row r="36" spans="1:7" ht="40.5" x14ac:dyDescent="0.3">
      <c r="A36" s="17" t="s">
        <v>37</v>
      </c>
      <c r="B36" s="7">
        <v>3869.1</v>
      </c>
      <c r="C36" s="7">
        <v>1549.5</v>
      </c>
      <c r="D36" s="7">
        <v>184.07130000000001</v>
      </c>
      <c r="E36" s="7">
        <v>54.569899999999997</v>
      </c>
      <c r="F36" s="8">
        <f t="shared" si="1"/>
        <v>4.7574707296270455</v>
      </c>
      <c r="G36" s="8">
        <f t="shared" si="1"/>
        <v>3.5217747660535657</v>
      </c>
    </row>
    <row r="37" spans="1:7" ht="20.25" x14ac:dyDescent="0.3">
      <c r="A37" s="6" t="s">
        <v>2</v>
      </c>
      <c r="B37" s="7">
        <v>84</v>
      </c>
      <c r="C37" s="7">
        <v>96.9</v>
      </c>
      <c r="D37" s="7">
        <v>104.5</v>
      </c>
      <c r="E37" s="7">
        <v>104.9</v>
      </c>
      <c r="F37" s="8"/>
      <c r="G37" s="8"/>
    </row>
    <row r="38" spans="1:7" ht="20.25" x14ac:dyDescent="0.3">
      <c r="A38" s="9"/>
      <c r="B38" s="7"/>
      <c r="C38" s="7"/>
      <c r="D38" s="7"/>
      <c r="E38" s="7"/>
      <c r="F38" s="8"/>
      <c r="G38" s="8"/>
    </row>
    <row r="39" spans="1:7" ht="20.25" x14ac:dyDescent="0.3">
      <c r="A39" s="17" t="s">
        <v>38</v>
      </c>
      <c r="B39" s="7">
        <v>180.1</v>
      </c>
      <c r="C39" s="7">
        <f>57.4+15.6+16.2</f>
        <v>89.2</v>
      </c>
      <c r="D39" s="7">
        <v>2.3668</v>
      </c>
      <c r="E39" s="7">
        <v>1.5951</v>
      </c>
      <c r="F39" s="8">
        <f t="shared" si="1"/>
        <v>1.3141588006662965</v>
      </c>
      <c r="G39" s="8">
        <f t="shared" si="1"/>
        <v>1.7882286995515695</v>
      </c>
    </row>
    <row r="40" spans="1:7" ht="20.25" x14ac:dyDescent="0.3">
      <c r="A40" s="6" t="s">
        <v>2</v>
      </c>
      <c r="B40" s="7">
        <v>83.3</v>
      </c>
      <c r="C40" s="7">
        <v>109.3</v>
      </c>
      <c r="D40" s="7">
        <v>89.8</v>
      </c>
      <c r="E40" s="7">
        <v>107.7</v>
      </c>
      <c r="F40" s="8"/>
      <c r="G40" s="8"/>
    </row>
    <row r="41" spans="1:7" ht="20.25" x14ac:dyDescent="0.3">
      <c r="A41" s="9"/>
      <c r="B41" s="19"/>
      <c r="C41" s="19"/>
      <c r="D41" s="18"/>
      <c r="E41" s="18"/>
      <c r="F41" s="8"/>
      <c r="G41" s="8"/>
    </row>
    <row r="42" spans="1:7" ht="60.75" x14ac:dyDescent="0.3">
      <c r="A42" s="13" t="s">
        <v>58</v>
      </c>
      <c r="B42" s="7">
        <v>7539.9</v>
      </c>
      <c r="C42" s="7">
        <f>737.9+500.2+521.2+632.2+758.1</f>
        <v>3149.6</v>
      </c>
      <c r="D42" s="7">
        <v>267.8</v>
      </c>
      <c r="E42" s="7" t="s">
        <v>86</v>
      </c>
      <c r="F42" s="8">
        <f>D42/7539.9*100</f>
        <v>3.5517712436504465</v>
      </c>
      <c r="G42" s="8"/>
    </row>
    <row r="43" spans="1:7" ht="20.25" x14ac:dyDescent="0.3">
      <c r="A43" s="20" t="s">
        <v>2</v>
      </c>
      <c r="B43" s="7">
        <v>83</v>
      </c>
      <c r="C43" s="7">
        <v>101.3</v>
      </c>
      <c r="D43" s="7">
        <v>93.3</v>
      </c>
      <c r="E43" s="7" t="s">
        <v>85</v>
      </c>
      <c r="F43" s="8"/>
      <c r="G43" s="8"/>
    </row>
    <row r="44" spans="1:7" ht="20.25" x14ac:dyDescent="0.3">
      <c r="A44" s="12"/>
      <c r="B44" s="7"/>
      <c r="C44" s="7"/>
      <c r="D44" s="7"/>
      <c r="E44" s="7"/>
      <c r="F44" s="8"/>
      <c r="G44" s="8"/>
    </row>
    <row r="45" spans="1:7" ht="40.5" x14ac:dyDescent="0.3">
      <c r="A45" s="21" t="s">
        <v>14</v>
      </c>
      <c r="B45" s="7">
        <v>59800</v>
      </c>
      <c r="C45" s="7">
        <v>21600</v>
      </c>
      <c r="D45" s="7">
        <v>2010.2</v>
      </c>
      <c r="E45" s="7">
        <v>938.8</v>
      </c>
      <c r="F45" s="8">
        <f t="shared" si="1"/>
        <v>3.3615384615384616</v>
      </c>
      <c r="G45" s="8">
        <f>E45/C45*100</f>
        <v>4.3462962962962957</v>
      </c>
    </row>
    <row r="46" spans="1:7" ht="20.25" x14ac:dyDescent="0.3">
      <c r="A46" s="6" t="s">
        <v>3</v>
      </c>
      <c r="B46" s="7">
        <v>93.3</v>
      </c>
      <c r="C46" s="7">
        <v>99.9</v>
      </c>
      <c r="D46" s="7">
        <v>90.4</v>
      </c>
      <c r="E46" s="7">
        <v>83.1</v>
      </c>
      <c r="F46" s="8"/>
      <c r="G46" s="8"/>
    </row>
    <row r="47" spans="1:7" ht="20.25" x14ac:dyDescent="0.3">
      <c r="A47" s="9"/>
      <c r="B47" s="7"/>
      <c r="C47" s="7"/>
      <c r="D47" s="7"/>
      <c r="E47" s="7"/>
      <c r="F47" s="8"/>
      <c r="G47" s="8"/>
    </row>
    <row r="48" spans="1:7" ht="40.5" x14ac:dyDescent="0.3">
      <c r="A48" s="13" t="s">
        <v>15</v>
      </c>
      <c r="B48" s="7">
        <v>14516.9</v>
      </c>
      <c r="C48" s="7">
        <v>7535.3</v>
      </c>
      <c r="D48" s="7">
        <v>393.90359999999998</v>
      </c>
      <c r="E48" s="7">
        <v>207.7773</v>
      </c>
      <c r="F48" s="8">
        <f t="shared" si="1"/>
        <v>2.713414020899779</v>
      </c>
      <c r="G48" s="8">
        <f>E48/C48*100</f>
        <v>2.7573859036800124</v>
      </c>
    </row>
    <row r="49" spans="1:7" ht="20.25" x14ac:dyDescent="0.3">
      <c r="A49" s="6" t="s">
        <v>2</v>
      </c>
      <c r="B49" s="7">
        <v>94.5</v>
      </c>
      <c r="C49" s="7">
        <v>103.4</v>
      </c>
      <c r="D49" s="7">
        <v>97.9</v>
      </c>
      <c r="E49" s="7">
        <v>106.1</v>
      </c>
      <c r="F49" s="8"/>
      <c r="G49" s="8"/>
    </row>
    <row r="50" spans="1:7" ht="20.25" x14ac:dyDescent="0.3">
      <c r="A50" s="9"/>
      <c r="B50" s="18"/>
      <c r="C50" s="18"/>
      <c r="D50" s="7"/>
      <c r="E50" s="7"/>
      <c r="F50" s="8"/>
      <c r="G50" s="8"/>
    </row>
    <row r="51" spans="1:7" ht="40.5" x14ac:dyDescent="0.3">
      <c r="A51" s="13" t="s">
        <v>16</v>
      </c>
      <c r="B51" s="7">
        <v>4413.7</v>
      </c>
      <c r="C51" s="7">
        <f>1515.2+385.7+402.7</f>
        <v>2303.6</v>
      </c>
      <c r="D51" s="7">
        <v>128.7988</v>
      </c>
      <c r="E51" s="7">
        <v>72.560299999999998</v>
      </c>
      <c r="F51" s="8">
        <f t="shared" si="1"/>
        <v>2.9181593674241566</v>
      </c>
      <c r="G51" s="8">
        <f t="shared" si="1"/>
        <v>3.149865428025699</v>
      </c>
    </row>
    <row r="52" spans="1:7" ht="20.25" x14ac:dyDescent="0.3">
      <c r="A52" s="6" t="s">
        <v>2</v>
      </c>
      <c r="B52" s="7">
        <v>95.7</v>
      </c>
      <c r="C52" s="7">
        <v>100.3</v>
      </c>
      <c r="D52" s="7">
        <v>94.8</v>
      </c>
      <c r="E52" s="7">
        <v>103.7</v>
      </c>
      <c r="F52" s="8"/>
      <c r="G52" s="8"/>
    </row>
    <row r="53" spans="1:7" ht="20.25" x14ac:dyDescent="0.3">
      <c r="A53" s="9"/>
      <c r="B53" s="7"/>
      <c r="C53" s="7"/>
      <c r="D53" s="7"/>
      <c r="E53" s="7"/>
      <c r="F53" s="8"/>
      <c r="G53" s="8"/>
    </row>
    <row r="54" spans="1:7" ht="40.5" x14ac:dyDescent="0.3">
      <c r="A54" s="13" t="s">
        <v>5</v>
      </c>
      <c r="B54" s="7">
        <v>97.2</v>
      </c>
      <c r="C54" s="7">
        <v>104.4</v>
      </c>
      <c r="D54" s="7">
        <v>92.8</v>
      </c>
      <c r="E54" s="7" t="s">
        <v>94</v>
      </c>
      <c r="F54" s="8"/>
      <c r="G54" s="8"/>
    </row>
    <row r="55" spans="1:7" ht="20.25" x14ac:dyDescent="0.3">
      <c r="A55" s="13"/>
      <c r="B55" s="7"/>
      <c r="C55" s="7"/>
      <c r="D55" s="7"/>
      <c r="E55" s="7"/>
      <c r="F55" s="8"/>
      <c r="G55" s="8"/>
    </row>
    <row r="56" spans="1:7" ht="40.5" x14ac:dyDescent="0.3">
      <c r="A56" s="13" t="s">
        <v>17</v>
      </c>
      <c r="B56" s="7">
        <v>18785</v>
      </c>
      <c r="C56" s="7">
        <v>20110</v>
      </c>
      <c r="D56" s="7">
        <v>15206.9</v>
      </c>
      <c r="E56" s="7" t="s">
        <v>95</v>
      </c>
      <c r="F56" s="8"/>
      <c r="G56" s="8"/>
    </row>
    <row r="57" spans="1:7" ht="20.25" x14ac:dyDescent="0.3">
      <c r="A57" s="6" t="s">
        <v>3</v>
      </c>
      <c r="B57" s="7">
        <v>108.5</v>
      </c>
      <c r="C57" s="7">
        <v>111.2</v>
      </c>
      <c r="D57" s="7">
        <v>102</v>
      </c>
      <c r="E57" s="7" t="s">
        <v>96</v>
      </c>
      <c r="F57" s="8"/>
      <c r="G57" s="8"/>
    </row>
    <row r="58" spans="1:7" ht="20.25" x14ac:dyDescent="0.3">
      <c r="A58" s="9"/>
      <c r="B58" s="7"/>
      <c r="C58" s="7"/>
      <c r="D58" s="7"/>
      <c r="E58" s="7"/>
      <c r="F58" s="8"/>
      <c r="G58" s="8"/>
    </row>
    <row r="59" spans="1:7" ht="20.25" x14ac:dyDescent="0.3">
      <c r="A59" s="13" t="s">
        <v>4</v>
      </c>
      <c r="B59" s="7">
        <v>16818</v>
      </c>
      <c r="C59" s="7">
        <v>18685</v>
      </c>
      <c r="D59" s="7">
        <v>15522.7</v>
      </c>
      <c r="E59" s="7">
        <v>16483.2</v>
      </c>
      <c r="F59" s="8"/>
      <c r="G59" s="8"/>
    </row>
    <row r="60" spans="1:7" ht="20.25" x14ac:dyDescent="0.3">
      <c r="A60" s="6" t="s">
        <v>3</v>
      </c>
      <c r="B60" s="7">
        <v>112.6</v>
      </c>
      <c r="C60" s="7">
        <v>111.1</v>
      </c>
      <c r="D60" s="7">
        <v>109.5</v>
      </c>
      <c r="E60" s="7">
        <v>114.7</v>
      </c>
      <c r="F60" s="8"/>
      <c r="G60" s="8"/>
    </row>
    <row r="61" spans="1:7" ht="20.25" x14ac:dyDescent="0.3">
      <c r="A61" s="9"/>
      <c r="B61" s="7"/>
      <c r="C61" s="7"/>
      <c r="D61" s="7"/>
      <c r="E61" s="7"/>
      <c r="F61" s="8"/>
      <c r="G61" s="8"/>
    </row>
    <row r="62" spans="1:7" ht="41.25" thickBot="1" x14ac:dyDescent="0.35">
      <c r="A62" s="22" t="s">
        <v>39</v>
      </c>
      <c r="B62" s="23">
        <v>2.76</v>
      </c>
      <c r="C62" s="23">
        <v>2.64</v>
      </c>
      <c r="D62" s="23">
        <v>2.8</v>
      </c>
      <c r="E62" s="23">
        <v>2.6</v>
      </c>
      <c r="F62" s="24"/>
      <c r="G62" s="24"/>
    </row>
    <row r="63" spans="1:7" ht="18.75" thickTop="1" x14ac:dyDescent="0.25">
      <c r="A63" s="25"/>
    </row>
    <row r="64" spans="1:7" ht="18" x14ac:dyDescent="0.25">
      <c r="A64" s="25" t="s">
        <v>42</v>
      </c>
    </row>
    <row r="65" spans="1:1" ht="18" x14ac:dyDescent="0.25">
      <c r="A65" s="25" t="s">
        <v>93</v>
      </c>
    </row>
    <row r="66" spans="1:1" ht="18" x14ac:dyDescent="0.25">
      <c r="A66" s="25" t="s">
        <v>89</v>
      </c>
    </row>
    <row r="72" spans="1:1" ht="15.75" x14ac:dyDescent="0.3">
      <c r="A72" s="26"/>
    </row>
    <row r="74" spans="1:1" x14ac:dyDescent="0.25">
      <c r="A74" s="27"/>
    </row>
  </sheetData>
  <mergeCells count="5">
    <mergeCell ref="A1:G1"/>
    <mergeCell ref="A2:A3"/>
    <mergeCell ref="B2:C2"/>
    <mergeCell ref="D2:E2"/>
    <mergeCell ref="F2:G2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opLeftCell="A4" zoomScale="50" zoomScaleNormal="50" workbookViewId="0">
      <selection activeCell="C14" sqref="C14"/>
    </sheetView>
  </sheetViews>
  <sheetFormatPr defaultColWidth="13.140625" defaultRowHeight="15" x14ac:dyDescent="0.25"/>
  <cols>
    <col min="1" max="1" width="100.28515625" style="1" customWidth="1"/>
    <col min="2" max="2" width="23.7109375" style="1" customWidth="1"/>
    <col min="3" max="3" width="31.28515625" style="1" customWidth="1"/>
    <col min="4" max="4" width="24.42578125" style="1" customWidth="1"/>
    <col min="5" max="5" width="30.140625" style="1" customWidth="1"/>
    <col min="6" max="6" width="23.28515625" style="1" customWidth="1"/>
    <col min="7" max="7" width="28.7109375" style="1" customWidth="1"/>
    <col min="8" max="16384" width="13.140625" style="1"/>
  </cols>
  <sheetData>
    <row r="1" spans="1:7" ht="27" thickBot="1" x14ac:dyDescent="0.3">
      <c r="A1" s="36" t="s">
        <v>21</v>
      </c>
      <c r="B1" s="36"/>
      <c r="C1" s="36"/>
      <c r="D1" s="36"/>
      <c r="E1" s="36"/>
      <c r="F1" s="36"/>
      <c r="G1" s="36"/>
    </row>
    <row r="2" spans="1:7" ht="21" thickTop="1" x14ac:dyDescent="0.25">
      <c r="A2" s="37" t="s">
        <v>0</v>
      </c>
      <c r="B2" s="37" t="s">
        <v>1</v>
      </c>
      <c r="C2" s="37"/>
      <c r="D2" s="37" t="s">
        <v>22</v>
      </c>
      <c r="E2" s="37"/>
      <c r="F2" s="39" t="s">
        <v>29</v>
      </c>
      <c r="G2" s="39"/>
    </row>
    <row r="3" spans="1:7" ht="41.25" thickBot="1" x14ac:dyDescent="0.3">
      <c r="A3" s="38"/>
      <c r="B3" s="2" t="s">
        <v>33</v>
      </c>
      <c r="C3" s="2" t="s">
        <v>97</v>
      </c>
      <c r="D3" s="2" t="s">
        <v>33</v>
      </c>
      <c r="E3" s="2" t="s">
        <v>97</v>
      </c>
      <c r="F3" s="2" t="s">
        <v>33</v>
      </c>
      <c r="G3" s="2" t="s">
        <v>98</v>
      </c>
    </row>
    <row r="4" spans="1:7" ht="41.25" thickTop="1" x14ac:dyDescent="0.3">
      <c r="A4" s="3" t="s">
        <v>20</v>
      </c>
      <c r="B4" s="4" t="s">
        <v>66</v>
      </c>
      <c r="C4" s="4" t="s">
        <v>112</v>
      </c>
      <c r="D4" s="4">
        <v>878.02359999999999</v>
      </c>
      <c r="E4" s="4" t="s">
        <v>100</v>
      </c>
      <c r="F4" s="5">
        <v>2.7</v>
      </c>
      <c r="G4" s="5"/>
    </row>
    <row r="5" spans="1:7" ht="20.25" x14ac:dyDescent="0.3">
      <c r="A5" s="6" t="s">
        <v>2</v>
      </c>
      <c r="B5" s="7" t="s">
        <v>44</v>
      </c>
      <c r="C5" s="7" t="s">
        <v>111</v>
      </c>
      <c r="D5" s="7">
        <v>95.8</v>
      </c>
      <c r="E5" s="7" t="s">
        <v>101</v>
      </c>
      <c r="F5" s="8"/>
      <c r="G5" s="8"/>
    </row>
    <row r="6" spans="1:7" ht="20.25" x14ac:dyDescent="0.3">
      <c r="A6" s="9"/>
      <c r="B6" s="7"/>
      <c r="C6" s="7"/>
      <c r="D6" s="7"/>
      <c r="E6" s="7"/>
      <c r="F6" s="8"/>
      <c r="G6" s="8"/>
    </row>
    <row r="7" spans="1:7" ht="40.5" x14ac:dyDescent="0.3">
      <c r="A7" s="33" t="s">
        <v>107</v>
      </c>
      <c r="B7" s="8">
        <f>39063600/69.2/1000</f>
        <v>564.50289017341038</v>
      </c>
      <c r="C7" s="8" t="s">
        <v>113</v>
      </c>
      <c r="D7" s="8">
        <f>D4/1800.9*1000</f>
        <v>487.54711533122327</v>
      </c>
      <c r="E7" s="8" t="s">
        <v>108</v>
      </c>
      <c r="F7" s="8"/>
      <c r="G7" s="8"/>
    </row>
    <row r="8" spans="1:7" ht="20.25" x14ac:dyDescent="0.3">
      <c r="A8" s="9"/>
      <c r="B8" s="7"/>
      <c r="C8" s="7"/>
      <c r="D8" s="7"/>
      <c r="E8" s="7"/>
      <c r="F8" s="8"/>
      <c r="G8" s="8"/>
    </row>
    <row r="9" spans="1:7" ht="40.5" x14ac:dyDescent="0.3">
      <c r="A9" s="10" t="s">
        <v>30</v>
      </c>
      <c r="B9" s="7">
        <v>108.8</v>
      </c>
      <c r="C9" s="7">
        <v>104.8</v>
      </c>
      <c r="D9" s="7">
        <v>107.5</v>
      </c>
      <c r="E9" s="7">
        <v>104.5</v>
      </c>
      <c r="F9" s="8"/>
      <c r="G9" s="8"/>
    </row>
    <row r="10" spans="1:7" ht="20.25" x14ac:dyDescent="0.3">
      <c r="A10" s="11" t="s">
        <v>23</v>
      </c>
      <c r="B10" s="7">
        <v>106.1</v>
      </c>
      <c r="C10" s="7">
        <v>105.7</v>
      </c>
      <c r="D10" s="7">
        <v>104.4</v>
      </c>
      <c r="E10" s="7">
        <v>105.2</v>
      </c>
      <c r="F10" s="8"/>
      <c r="G10" s="8"/>
    </row>
    <row r="11" spans="1:7" ht="20.25" x14ac:dyDescent="0.3">
      <c r="A11" s="11" t="s">
        <v>24</v>
      </c>
      <c r="B11" s="7">
        <v>109.7</v>
      </c>
      <c r="C11" s="7">
        <v>102.2</v>
      </c>
      <c r="D11" s="7">
        <v>109.1</v>
      </c>
      <c r="E11" s="7">
        <v>101.8</v>
      </c>
      <c r="F11" s="8"/>
      <c r="G11" s="8"/>
    </row>
    <row r="12" spans="1:7" ht="20.25" x14ac:dyDescent="0.3">
      <c r="A12" s="11" t="s">
        <v>25</v>
      </c>
      <c r="B12" s="7">
        <v>111.6</v>
      </c>
      <c r="C12" s="7">
        <v>107</v>
      </c>
      <c r="D12" s="7">
        <v>109.5</v>
      </c>
      <c r="E12" s="7">
        <v>107</v>
      </c>
      <c r="F12" s="8"/>
      <c r="G12" s="8"/>
    </row>
    <row r="13" spans="1:7" ht="20.25" x14ac:dyDescent="0.3">
      <c r="A13" s="12"/>
      <c r="B13" s="7"/>
      <c r="C13" s="7"/>
      <c r="D13" s="7"/>
      <c r="E13" s="7"/>
      <c r="F13" s="8"/>
      <c r="G13" s="8"/>
    </row>
    <row r="14" spans="1:7" ht="40.5" x14ac:dyDescent="0.3">
      <c r="A14" s="13" t="s">
        <v>31</v>
      </c>
      <c r="B14" s="7">
        <v>21483.9</v>
      </c>
      <c r="C14" s="7" t="s">
        <v>109</v>
      </c>
      <c r="D14" s="7">
        <v>859.01610000000005</v>
      </c>
      <c r="E14" s="7">
        <v>569.19349999999997</v>
      </c>
      <c r="F14" s="8">
        <f>D14/B14*100</f>
        <v>3.998417885020876</v>
      </c>
      <c r="G14" s="8" t="s">
        <v>110</v>
      </c>
    </row>
    <row r="15" spans="1:7" ht="20.25" x14ac:dyDescent="0.3">
      <c r="A15" s="12"/>
      <c r="B15" s="7"/>
      <c r="C15" s="7"/>
      <c r="D15" s="7"/>
      <c r="E15" s="7"/>
      <c r="F15" s="8"/>
      <c r="G15" s="8"/>
    </row>
    <row r="16" spans="1:7" ht="40.5" x14ac:dyDescent="0.3">
      <c r="A16" s="14" t="s">
        <v>32</v>
      </c>
      <c r="B16" s="7">
        <v>89.2</v>
      </c>
      <c r="C16" s="7">
        <v>109.6</v>
      </c>
      <c r="D16" s="7">
        <v>92.3</v>
      </c>
      <c r="E16" s="7">
        <v>108.1</v>
      </c>
      <c r="F16" s="8"/>
      <c r="G16" s="8"/>
    </row>
    <row r="17" spans="1:13" ht="20.25" x14ac:dyDescent="0.3">
      <c r="A17" s="11" t="s">
        <v>26</v>
      </c>
      <c r="B17" s="7">
        <v>98.8</v>
      </c>
      <c r="C17" s="7">
        <v>105.3</v>
      </c>
      <c r="D17" s="7">
        <v>100.6</v>
      </c>
      <c r="E17" s="7">
        <v>100.1</v>
      </c>
      <c r="F17" s="8"/>
      <c r="G17" s="8"/>
    </row>
    <row r="18" spans="1:13" ht="20.25" x14ac:dyDescent="0.3">
      <c r="A18" s="11" t="s">
        <v>27</v>
      </c>
      <c r="B18" s="7">
        <v>84</v>
      </c>
      <c r="C18" s="7">
        <v>113.3</v>
      </c>
      <c r="D18" s="7">
        <v>86.8</v>
      </c>
      <c r="E18" s="7">
        <v>115.1</v>
      </c>
      <c r="F18" s="8"/>
      <c r="G18" s="8"/>
    </row>
    <row r="19" spans="1:13" ht="40.5" x14ac:dyDescent="0.3">
      <c r="A19" s="11" t="s">
        <v>28</v>
      </c>
      <c r="B19" s="7">
        <v>95.2</v>
      </c>
      <c r="C19" s="7">
        <v>105.3</v>
      </c>
      <c r="D19" s="7">
        <v>90.5</v>
      </c>
      <c r="E19" s="7">
        <v>107.4</v>
      </c>
      <c r="F19" s="8"/>
      <c r="G19" s="8"/>
    </row>
    <row r="20" spans="1:13" ht="20.25" x14ac:dyDescent="0.3">
      <c r="A20" s="14"/>
      <c r="B20" s="7"/>
      <c r="C20" s="7"/>
      <c r="D20" s="7"/>
      <c r="E20" s="7"/>
      <c r="F20" s="8"/>
      <c r="G20" s="8"/>
    </row>
    <row r="21" spans="1:13" ht="40.5" x14ac:dyDescent="0.3">
      <c r="A21" s="14" t="s">
        <v>34</v>
      </c>
      <c r="B21" s="7"/>
      <c r="C21" s="7"/>
      <c r="D21" s="7"/>
      <c r="E21" s="7"/>
      <c r="F21" s="8"/>
      <c r="G21" s="8"/>
    </row>
    <row r="22" spans="1:13" ht="23.25" x14ac:dyDescent="0.35">
      <c r="A22" s="11" t="s">
        <v>6</v>
      </c>
      <c r="B22" s="7">
        <v>494</v>
      </c>
      <c r="C22" s="7">
        <f>81.2+42.8+41.3+38.7+41.5+42.9</f>
        <v>288.39999999999998</v>
      </c>
      <c r="D22" s="7">
        <v>32.4</v>
      </c>
      <c r="E22" s="7">
        <v>18.8</v>
      </c>
      <c r="F22" s="8">
        <f>D22/B22*100</f>
        <v>6.5587044534412957</v>
      </c>
      <c r="G22" s="8">
        <f>E22/C22*100</f>
        <v>6.5187239944521513</v>
      </c>
      <c r="I22" s="4"/>
      <c r="J22" s="28"/>
    </row>
    <row r="23" spans="1:13" ht="20.25" x14ac:dyDescent="0.3">
      <c r="A23" s="11" t="s">
        <v>7</v>
      </c>
      <c r="B23" s="7">
        <v>35800</v>
      </c>
      <c r="C23" s="7">
        <f>3100+5800+2800+2900+2800+3100</f>
        <v>20500</v>
      </c>
      <c r="D23" s="7">
        <v>618.4</v>
      </c>
      <c r="E23" s="7">
        <v>392.7</v>
      </c>
      <c r="F23" s="8">
        <f t="shared" ref="F23:G31" si="0">D23/B23*100</f>
        <v>1.7273743016759775</v>
      </c>
      <c r="G23" s="8">
        <f t="shared" si="0"/>
        <v>1.9156097560975609</v>
      </c>
      <c r="I23" s="31"/>
    </row>
    <row r="24" spans="1:13" ht="20.25" x14ac:dyDescent="0.3">
      <c r="A24" s="11" t="s">
        <v>8</v>
      </c>
      <c r="B24" s="7">
        <v>971</v>
      </c>
      <c r="C24" s="7">
        <f>101+181.3+97.4+96+92.3+84.1</f>
        <v>652.1</v>
      </c>
      <c r="D24" s="7">
        <v>407.3</v>
      </c>
      <c r="E24" s="7">
        <v>287.60000000000002</v>
      </c>
      <c r="F24" s="8">
        <f t="shared" si="0"/>
        <v>41.946446961894956</v>
      </c>
      <c r="G24" s="8">
        <f t="shared" si="0"/>
        <v>44.103665082042632</v>
      </c>
      <c r="I24" s="31"/>
    </row>
    <row r="25" spans="1:13" ht="20.25" x14ac:dyDescent="0.3">
      <c r="A25" s="11" t="s">
        <v>49</v>
      </c>
      <c r="B25" s="7">
        <v>1411</v>
      </c>
      <c r="C25" s="7">
        <f>158+268+137+132+128+113</f>
        <v>936</v>
      </c>
      <c r="D25" s="7">
        <v>731.9</v>
      </c>
      <c r="E25" s="7">
        <v>482.1</v>
      </c>
      <c r="F25" s="8">
        <f t="shared" si="0"/>
        <v>51.871013465627215</v>
      </c>
      <c r="G25" s="8">
        <f t="shared" si="0"/>
        <v>51.506410256410263</v>
      </c>
      <c r="I25" s="31"/>
      <c r="M25" s="15"/>
    </row>
    <row r="26" spans="1:13" ht="20.25" x14ac:dyDescent="0.3">
      <c r="A26" s="11" t="s">
        <v>40</v>
      </c>
      <c r="B26" s="7">
        <v>27.995000000000001</v>
      </c>
      <c r="C26" s="7">
        <f>7.4+2.818+2.708+3.034+2.8779</f>
        <v>18.837900000000001</v>
      </c>
      <c r="D26" s="7">
        <v>9.4</v>
      </c>
      <c r="E26" s="7">
        <v>6.2</v>
      </c>
      <c r="F26" s="8">
        <f t="shared" si="0"/>
        <v>33.577424540096445</v>
      </c>
      <c r="G26" s="8">
        <f t="shared" si="0"/>
        <v>32.912373459886716</v>
      </c>
      <c r="I26" s="4"/>
      <c r="M26" s="15"/>
    </row>
    <row r="27" spans="1:13" ht="20.25" x14ac:dyDescent="0.3">
      <c r="A27" s="11" t="s">
        <v>10</v>
      </c>
      <c r="B27" s="7">
        <v>91.4</v>
      </c>
      <c r="C27" s="7">
        <f>11.2+11.9+12.4+10.4+14.9+14.8</f>
        <v>75.599999999999994</v>
      </c>
      <c r="D27" s="7">
        <v>27.9</v>
      </c>
      <c r="E27" s="7">
        <v>23.3</v>
      </c>
      <c r="F27" s="8">
        <f t="shared" si="0"/>
        <v>30.525164113785554</v>
      </c>
      <c r="G27" s="8">
        <f t="shared" si="0"/>
        <v>30.820105820105827</v>
      </c>
      <c r="I27" s="4"/>
      <c r="J27" s="32"/>
      <c r="M27" s="15"/>
    </row>
    <row r="28" spans="1:13" ht="20.25" x14ac:dyDescent="0.3">
      <c r="A28" s="11" t="s">
        <v>11</v>
      </c>
      <c r="B28" s="7">
        <v>597</v>
      </c>
      <c r="C28" s="7">
        <f>85+103.3+93.7+96.5+108+111</f>
        <v>597.5</v>
      </c>
      <c r="D28" s="7">
        <v>5.4</v>
      </c>
      <c r="E28" s="7">
        <v>3.9</v>
      </c>
      <c r="F28" s="8">
        <f t="shared" si="0"/>
        <v>0.90452261306532677</v>
      </c>
      <c r="G28" s="8">
        <f t="shared" si="0"/>
        <v>0.65271966527196656</v>
      </c>
      <c r="I28" s="4"/>
      <c r="J28" s="32"/>
    </row>
    <row r="29" spans="1:13" ht="20.25" x14ac:dyDescent="0.3">
      <c r="A29" s="11" t="s">
        <v>19</v>
      </c>
      <c r="B29" s="7">
        <v>3923</v>
      </c>
      <c r="C29" s="7">
        <f>393+712+363+389+365+393</f>
        <v>2615</v>
      </c>
      <c r="D29" s="7">
        <v>56.7</v>
      </c>
      <c r="E29" s="7">
        <v>67.599999999999994</v>
      </c>
      <c r="F29" s="8">
        <f t="shared" si="0"/>
        <v>1.4453224573030843</v>
      </c>
      <c r="G29" s="8">
        <f t="shared" si="0"/>
        <v>2.5850860420650092</v>
      </c>
      <c r="J29" s="32"/>
    </row>
    <row r="30" spans="1:13" ht="20.25" x14ac:dyDescent="0.3">
      <c r="A30" s="11" t="s">
        <v>18</v>
      </c>
      <c r="B30" s="7">
        <v>3450</v>
      </c>
      <c r="C30" s="7">
        <f>271+492+250+244+239+249</f>
        <v>1745</v>
      </c>
      <c r="D30" s="7">
        <v>153.9</v>
      </c>
      <c r="E30" s="7">
        <v>55.8</v>
      </c>
      <c r="F30" s="8">
        <f t="shared" si="0"/>
        <v>4.4608695652173918</v>
      </c>
      <c r="G30" s="8">
        <f t="shared" si="0"/>
        <v>3.1977077363896851</v>
      </c>
    </row>
    <row r="31" spans="1:13" ht="20.25" x14ac:dyDescent="0.3">
      <c r="A31" s="11" t="s">
        <v>12</v>
      </c>
      <c r="B31" s="7">
        <v>929</v>
      </c>
      <c r="C31" s="7">
        <f>85.6+142.8+89.9+90.1+92+98.2</f>
        <v>598.6</v>
      </c>
      <c r="D31" s="7">
        <v>112</v>
      </c>
      <c r="E31" s="7">
        <v>75.5</v>
      </c>
      <c r="F31" s="8">
        <f t="shared" si="0"/>
        <v>12.055974165769644</v>
      </c>
      <c r="G31" s="8">
        <f t="shared" si="0"/>
        <v>12.612763113932509</v>
      </c>
    </row>
    <row r="32" spans="1:13" ht="20.25" x14ac:dyDescent="0.3">
      <c r="A32" s="14"/>
      <c r="B32" s="7"/>
      <c r="C32" s="7"/>
      <c r="D32" s="7"/>
      <c r="E32" s="7"/>
      <c r="F32" s="8"/>
      <c r="G32" s="8"/>
    </row>
    <row r="33" spans="1:7" ht="40.5" x14ac:dyDescent="0.3">
      <c r="A33" s="13" t="s">
        <v>35</v>
      </c>
      <c r="B33" s="7">
        <v>113.9</v>
      </c>
      <c r="C33" s="7">
        <v>106.2</v>
      </c>
      <c r="D33" s="7">
        <v>128.5</v>
      </c>
      <c r="E33" s="7">
        <v>94</v>
      </c>
      <c r="F33" s="8"/>
      <c r="G33" s="8"/>
    </row>
    <row r="34" spans="1:7" ht="20.25" x14ac:dyDescent="0.3">
      <c r="A34" s="13"/>
      <c r="B34" s="7"/>
      <c r="C34" s="7"/>
      <c r="D34" s="7"/>
      <c r="E34" s="7"/>
      <c r="F34" s="8"/>
      <c r="G34" s="8"/>
    </row>
    <row r="35" spans="1:7" ht="40.5" x14ac:dyDescent="0.3">
      <c r="A35" s="17" t="s">
        <v>36</v>
      </c>
      <c r="B35" s="7">
        <v>2551.6999999999998</v>
      </c>
      <c r="C35" s="7">
        <v>931.5</v>
      </c>
      <c r="D35" s="7">
        <v>119.1283</v>
      </c>
      <c r="E35" s="7">
        <v>56.314599999999999</v>
      </c>
      <c r="F35" s="8">
        <f t="shared" ref="F35:G53" si="1">D35/B35*100</f>
        <v>4.6685856487831643</v>
      </c>
      <c r="G35" s="8">
        <f>E35/C35*100</f>
        <v>6.045582393988191</v>
      </c>
    </row>
    <row r="36" spans="1:7" ht="20.25" x14ac:dyDescent="0.3">
      <c r="A36" s="6" t="s">
        <v>2</v>
      </c>
      <c r="B36" s="7">
        <v>101.2</v>
      </c>
      <c r="C36" s="7">
        <v>100.3</v>
      </c>
      <c r="D36" s="7">
        <v>100.1</v>
      </c>
      <c r="E36" s="7">
        <v>100.1</v>
      </c>
      <c r="F36" s="8"/>
      <c r="G36" s="8"/>
    </row>
    <row r="37" spans="1:7" ht="20.25" x14ac:dyDescent="0.3">
      <c r="A37" s="6"/>
      <c r="B37" s="7"/>
      <c r="C37" s="7"/>
      <c r="D37" s="7"/>
      <c r="E37" s="7"/>
      <c r="F37" s="8"/>
      <c r="G37" s="8"/>
    </row>
    <row r="38" spans="1:7" ht="40.5" x14ac:dyDescent="0.3">
      <c r="A38" s="17" t="s">
        <v>37</v>
      </c>
      <c r="B38" s="7">
        <v>3869.1</v>
      </c>
      <c r="C38" s="7">
        <v>1921.5</v>
      </c>
      <c r="D38" s="7">
        <v>184.07130000000001</v>
      </c>
      <c r="E38" s="7">
        <v>71.837000000000003</v>
      </c>
      <c r="F38" s="8">
        <f t="shared" si="1"/>
        <v>4.7574707296270455</v>
      </c>
      <c r="G38" s="8">
        <f t="shared" si="1"/>
        <v>3.7385896435076766</v>
      </c>
    </row>
    <row r="39" spans="1:7" ht="20.25" x14ac:dyDescent="0.3">
      <c r="A39" s="6" t="s">
        <v>2</v>
      </c>
      <c r="B39" s="7">
        <v>84</v>
      </c>
      <c r="C39" s="7">
        <v>97</v>
      </c>
      <c r="D39" s="7">
        <v>104.5</v>
      </c>
      <c r="E39" s="7">
        <v>105.4</v>
      </c>
      <c r="F39" s="8"/>
      <c r="G39" s="8"/>
    </row>
    <row r="40" spans="1:7" ht="20.25" x14ac:dyDescent="0.3">
      <c r="A40" s="9"/>
      <c r="B40" s="7"/>
      <c r="C40" s="7"/>
      <c r="D40" s="7"/>
      <c r="E40" s="7"/>
      <c r="F40" s="8"/>
      <c r="G40" s="8"/>
    </row>
    <row r="41" spans="1:7" ht="20.25" x14ac:dyDescent="0.3">
      <c r="A41" s="17" t="s">
        <v>38</v>
      </c>
      <c r="B41" s="7">
        <v>180.1</v>
      </c>
      <c r="C41" s="7">
        <f>57.4+15.6+16.2+17.2</f>
        <v>106.4</v>
      </c>
      <c r="D41" s="7">
        <v>2.3668</v>
      </c>
      <c r="E41" s="7">
        <v>1.9874000000000001</v>
      </c>
      <c r="F41" s="8">
        <f t="shared" si="1"/>
        <v>1.3141588006662965</v>
      </c>
      <c r="G41" s="8">
        <f t="shared" si="1"/>
        <v>1.8678571428571429</v>
      </c>
    </row>
    <row r="42" spans="1:7" ht="20.25" x14ac:dyDescent="0.3">
      <c r="A42" s="6" t="s">
        <v>2</v>
      </c>
      <c r="B42" s="7">
        <v>83.3</v>
      </c>
      <c r="C42" s="7">
        <v>109.4</v>
      </c>
      <c r="D42" s="7">
        <v>89.8</v>
      </c>
      <c r="E42" s="7">
        <v>108</v>
      </c>
      <c r="F42" s="8"/>
      <c r="G42" s="8"/>
    </row>
    <row r="43" spans="1:7" ht="20.25" x14ac:dyDescent="0.3">
      <c r="A43" s="9"/>
      <c r="B43" s="19"/>
      <c r="C43" s="19"/>
      <c r="D43" s="18"/>
      <c r="E43" s="18"/>
      <c r="F43" s="8"/>
      <c r="G43" s="8"/>
    </row>
    <row r="44" spans="1:7" ht="60.75" x14ac:dyDescent="0.3">
      <c r="A44" s="13" t="s">
        <v>58</v>
      </c>
      <c r="B44" s="7">
        <v>7539.9</v>
      </c>
      <c r="C44" s="7">
        <f>737.9+500.2+521.2+632.2+758.1+680.5</f>
        <v>3830.1</v>
      </c>
      <c r="D44" s="7">
        <v>267.8</v>
      </c>
      <c r="E44" s="7" t="s">
        <v>102</v>
      </c>
      <c r="F44" s="8">
        <f>D44/7539.9*100</f>
        <v>3.5517712436504465</v>
      </c>
      <c r="G44" s="8">
        <f>109.9/C44*100</f>
        <v>2.8693767786741859</v>
      </c>
    </row>
    <row r="45" spans="1:7" ht="20.25" x14ac:dyDescent="0.3">
      <c r="A45" s="20" t="s">
        <v>2</v>
      </c>
      <c r="B45" s="7">
        <v>83</v>
      </c>
      <c r="C45" s="7">
        <v>101.3</v>
      </c>
      <c r="D45" s="7">
        <v>93.3</v>
      </c>
      <c r="E45" s="7" t="s">
        <v>103</v>
      </c>
      <c r="F45" s="8"/>
      <c r="G45" s="8"/>
    </row>
    <row r="46" spans="1:7" ht="20.25" x14ac:dyDescent="0.3">
      <c r="A46" s="12"/>
      <c r="B46" s="7"/>
      <c r="C46" s="7"/>
      <c r="D46" s="7"/>
      <c r="E46" s="7"/>
      <c r="F46" s="8"/>
      <c r="G46" s="8"/>
    </row>
    <row r="47" spans="1:7" ht="40.5" x14ac:dyDescent="0.3">
      <c r="A47" s="21" t="s">
        <v>14</v>
      </c>
      <c r="B47" s="7">
        <v>59800</v>
      </c>
      <c r="C47" s="7">
        <v>24700</v>
      </c>
      <c r="D47" s="7">
        <v>2010.2</v>
      </c>
      <c r="E47" s="7">
        <v>1068.3</v>
      </c>
      <c r="F47" s="8">
        <f t="shared" si="1"/>
        <v>3.3615384615384616</v>
      </c>
      <c r="G47" s="8">
        <f>E47/C47*100</f>
        <v>4.3251012145748984</v>
      </c>
    </row>
    <row r="48" spans="1:7" ht="20.25" x14ac:dyDescent="0.3">
      <c r="A48" s="6" t="s">
        <v>3</v>
      </c>
      <c r="B48" s="7">
        <v>93.3</v>
      </c>
      <c r="C48" s="7">
        <v>95.9</v>
      </c>
      <c r="D48" s="7">
        <v>90.4</v>
      </c>
      <c r="E48" s="7">
        <v>83.2</v>
      </c>
      <c r="F48" s="8"/>
      <c r="G48" s="8"/>
    </row>
    <row r="49" spans="1:7" ht="20.25" x14ac:dyDescent="0.3">
      <c r="A49" s="9"/>
      <c r="B49" s="7"/>
      <c r="C49" s="7"/>
      <c r="D49" s="7"/>
      <c r="E49" s="7"/>
      <c r="F49" s="8"/>
      <c r="G49" s="8"/>
    </row>
    <row r="50" spans="1:7" ht="40.5" x14ac:dyDescent="0.3">
      <c r="A50" s="13" t="s">
        <v>15</v>
      </c>
      <c r="B50" s="7">
        <v>14516.9</v>
      </c>
      <c r="C50" s="7">
        <v>8912.2999999999993</v>
      </c>
      <c r="D50" s="7">
        <v>393.90359999999998</v>
      </c>
      <c r="E50" s="7">
        <v>245.61429999999999</v>
      </c>
      <c r="F50" s="8">
        <f t="shared" si="1"/>
        <v>2.713414020899779</v>
      </c>
      <c r="G50" s="8">
        <f>E50/C50*100</f>
        <v>2.7559025167465188</v>
      </c>
    </row>
    <row r="51" spans="1:7" ht="20.25" x14ac:dyDescent="0.3">
      <c r="A51" s="6" t="s">
        <v>2</v>
      </c>
      <c r="B51" s="7">
        <v>94.5</v>
      </c>
      <c r="C51" s="7">
        <v>103.9</v>
      </c>
      <c r="D51" s="7">
        <v>97.9</v>
      </c>
      <c r="E51" s="7">
        <v>106.2</v>
      </c>
      <c r="F51" s="8"/>
      <c r="G51" s="8"/>
    </row>
    <row r="52" spans="1:7" ht="20.25" x14ac:dyDescent="0.3">
      <c r="A52" s="9"/>
      <c r="B52" s="18"/>
      <c r="C52" s="18"/>
      <c r="D52" s="7"/>
      <c r="E52" s="7"/>
      <c r="F52" s="8"/>
      <c r="G52" s="8"/>
    </row>
    <row r="53" spans="1:7" ht="40.5" x14ac:dyDescent="0.3">
      <c r="A53" s="13" t="s">
        <v>16</v>
      </c>
      <c r="B53" s="7">
        <v>4413.7</v>
      </c>
      <c r="C53" s="7">
        <f>1515.2+385.7+402.7+411.7</f>
        <v>2715.2999999999997</v>
      </c>
      <c r="D53" s="7">
        <v>128.7988</v>
      </c>
      <c r="E53" s="7">
        <v>84.773799999999994</v>
      </c>
      <c r="F53" s="8">
        <f t="shared" si="1"/>
        <v>2.9181593674241566</v>
      </c>
      <c r="G53" s="8">
        <f t="shared" si="1"/>
        <v>3.1220785916841605</v>
      </c>
    </row>
    <row r="54" spans="1:7" ht="20.25" x14ac:dyDescent="0.3">
      <c r="A54" s="6" t="s">
        <v>2</v>
      </c>
      <c r="B54" s="7">
        <v>95.7</v>
      </c>
      <c r="C54" s="7">
        <v>100.6</v>
      </c>
      <c r="D54" s="7">
        <v>94.8</v>
      </c>
      <c r="E54" s="7">
        <v>103.6</v>
      </c>
      <c r="F54" s="8"/>
      <c r="G54" s="8"/>
    </row>
    <row r="55" spans="1:7" ht="20.25" x14ac:dyDescent="0.3">
      <c r="A55" s="9"/>
      <c r="B55" s="7"/>
      <c r="C55" s="7"/>
      <c r="D55" s="7"/>
      <c r="E55" s="7"/>
      <c r="F55" s="8"/>
      <c r="G55" s="8"/>
    </row>
    <row r="56" spans="1:7" ht="40.5" x14ac:dyDescent="0.3">
      <c r="A56" s="13" t="s">
        <v>5</v>
      </c>
      <c r="B56" s="7">
        <v>97.2</v>
      </c>
      <c r="C56" s="7">
        <v>104.9</v>
      </c>
      <c r="D56" s="7">
        <v>92.8</v>
      </c>
      <c r="E56" s="7" t="s">
        <v>104</v>
      </c>
      <c r="F56" s="8"/>
      <c r="G56" s="8"/>
    </row>
    <row r="57" spans="1:7" ht="20.25" x14ac:dyDescent="0.3">
      <c r="A57" s="13"/>
      <c r="B57" s="7"/>
      <c r="C57" s="7"/>
      <c r="D57" s="7"/>
      <c r="E57" s="7"/>
      <c r="F57" s="8"/>
      <c r="G57" s="8"/>
    </row>
    <row r="58" spans="1:7" ht="40.5" x14ac:dyDescent="0.3">
      <c r="A58" s="13" t="s">
        <v>17</v>
      </c>
      <c r="B58" s="7">
        <v>18785</v>
      </c>
      <c r="C58" s="7">
        <v>20318</v>
      </c>
      <c r="D58" s="7">
        <v>15206.9</v>
      </c>
      <c r="E58" s="7" t="s">
        <v>105</v>
      </c>
      <c r="F58" s="8"/>
      <c r="G58" s="8"/>
    </row>
    <row r="59" spans="1:7" ht="20.25" x14ac:dyDescent="0.3">
      <c r="A59" s="6" t="s">
        <v>3</v>
      </c>
      <c r="B59" s="7">
        <v>108.5</v>
      </c>
      <c r="C59" s="7">
        <v>111.6</v>
      </c>
      <c r="D59" s="7">
        <v>102</v>
      </c>
      <c r="E59" s="7" t="s">
        <v>106</v>
      </c>
      <c r="F59" s="8"/>
      <c r="G59" s="8"/>
    </row>
    <row r="60" spans="1:7" ht="20.25" x14ac:dyDescent="0.3">
      <c r="A60" s="9"/>
      <c r="B60" s="7"/>
      <c r="C60" s="7"/>
      <c r="D60" s="7"/>
      <c r="E60" s="7"/>
      <c r="F60" s="8"/>
      <c r="G60" s="8"/>
    </row>
    <row r="61" spans="1:7" ht="20.25" x14ac:dyDescent="0.3">
      <c r="A61" s="13" t="s">
        <v>4</v>
      </c>
      <c r="B61" s="7">
        <v>16818</v>
      </c>
      <c r="C61" s="7">
        <v>18924</v>
      </c>
      <c r="D61" s="7">
        <v>15522.7</v>
      </c>
      <c r="E61" s="7">
        <v>16767.2</v>
      </c>
      <c r="F61" s="8"/>
      <c r="G61" s="8"/>
    </row>
    <row r="62" spans="1:7" ht="20.25" x14ac:dyDescent="0.3">
      <c r="A62" s="6" t="s">
        <v>3</v>
      </c>
      <c r="B62" s="7">
        <v>112.6</v>
      </c>
      <c r="C62" s="7">
        <v>111.2</v>
      </c>
      <c r="D62" s="7">
        <v>109.5</v>
      </c>
      <c r="E62" s="7">
        <v>114.5</v>
      </c>
      <c r="F62" s="8"/>
      <c r="G62" s="8"/>
    </row>
    <row r="63" spans="1:7" ht="20.25" x14ac:dyDescent="0.3">
      <c r="A63" s="9"/>
      <c r="B63" s="7"/>
      <c r="C63" s="7"/>
      <c r="D63" s="7"/>
      <c r="E63" s="7"/>
      <c r="F63" s="8"/>
      <c r="G63" s="8"/>
    </row>
    <row r="64" spans="1:7" ht="41.25" thickBot="1" x14ac:dyDescent="0.35">
      <c r="A64" s="22" t="s">
        <v>39</v>
      </c>
      <c r="B64" s="23">
        <v>2.76</v>
      </c>
      <c r="C64" s="23">
        <v>2.35</v>
      </c>
      <c r="D64" s="23">
        <v>2.8</v>
      </c>
      <c r="E64" s="23">
        <v>2.4</v>
      </c>
      <c r="F64" s="24"/>
      <c r="G64" s="24"/>
    </row>
    <row r="65" spans="1:1" ht="18.75" thickTop="1" x14ac:dyDescent="0.25">
      <c r="A65" s="25"/>
    </row>
    <row r="66" spans="1:1" ht="18" x14ac:dyDescent="0.25">
      <c r="A66" s="25" t="s">
        <v>42</v>
      </c>
    </row>
    <row r="67" spans="1:1" ht="18" x14ac:dyDescent="0.25">
      <c r="A67" s="25" t="s">
        <v>99</v>
      </c>
    </row>
    <row r="68" spans="1:1" ht="18" x14ac:dyDescent="0.25">
      <c r="A68" s="25" t="s">
        <v>89</v>
      </c>
    </row>
    <row r="74" spans="1:1" ht="15.75" x14ac:dyDescent="0.3">
      <c r="A74" s="26"/>
    </row>
    <row r="76" spans="1:1" x14ac:dyDescent="0.25">
      <c r="A76" s="27"/>
    </row>
  </sheetData>
  <mergeCells count="5">
    <mergeCell ref="A1:G1"/>
    <mergeCell ref="A2:A3"/>
    <mergeCell ref="B2:C2"/>
    <mergeCell ref="D2:E2"/>
    <mergeCell ref="F2:G2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60" zoomScaleNormal="60" workbookViewId="0">
      <selection activeCell="C56" sqref="C56"/>
    </sheetView>
  </sheetViews>
  <sheetFormatPr defaultColWidth="13.140625" defaultRowHeight="15" x14ac:dyDescent="0.25"/>
  <cols>
    <col min="1" max="1" width="100.28515625" style="1" customWidth="1"/>
    <col min="2" max="2" width="23.7109375" style="1" customWidth="1"/>
    <col min="3" max="3" width="31.28515625" style="1" customWidth="1"/>
    <col min="4" max="4" width="24.42578125" style="1" customWidth="1"/>
    <col min="5" max="5" width="30.140625" style="1" customWidth="1"/>
    <col min="6" max="6" width="23.28515625" style="1" customWidth="1"/>
    <col min="7" max="7" width="28.7109375" style="1" customWidth="1"/>
    <col min="8" max="16384" width="13.140625" style="1"/>
  </cols>
  <sheetData>
    <row r="1" spans="1:7" ht="47.25" customHeight="1" thickBot="1" x14ac:dyDescent="0.3">
      <c r="A1" s="36" t="s">
        <v>21</v>
      </c>
      <c r="B1" s="36"/>
      <c r="C1" s="36"/>
      <c r="D1" s="36"/>
      <c r="E1" s="36"/>
      <c r="F1" s="36"/>
      <c r="G1" s="36"/>
    </row>
    <row r="2" spans="1:7" ht="21" thickTop="1" x14ac:dyDescent="0.25">
      <c r="A2" s="37" t="s">
        <v>0</v>
      </c>
      <c r="B2" s="37" t="s">
        <v>1</v>
      </c>
      <c r="C2" s="37"/>
      <c r="D2" s="37" t="s">
        <v>22</v>
      </c>
      <c r="E2" s="37"/>
      <c r="F2" s="39" t="s">
        <v>29</v>
      </c>
      <c r="G2" s="39"/>
    </row>
    <row r="3" spans="1:7" ht="41.25" thickBot="1" x14ac:dyDescent="0.3">
      <c r="A3" s="38"/>
      <c r="B3" s="2" t="s">
        <v>33</v>
      </c>
      <c r="C3" s="2" t="s">
        <v>126</v>
      </c>
      <c r="D3" s="2" t="s">
        <v>33</v>
      </c>
      <c r="E3" s="2" t="s">
        <v>126</v>
      </c>
      <c r="F3" s="2" t="s">
        <v>33</v>
      </c>
      <c r="G3" s="2" t="s">
        <v>127</v>
      </c>
    </row>
    <row r="4" spans="1:7" ht="41.25" thickTop="1" x14ac:dyDescent="0.3">
      <c r="A4" s="3" t="s">
        <v>20</v>
      </c>
      <c r="B4" s="4" t="s">
        <v>66</v>
      </c>
      <c r="C4" s="4" t="s">
        <v>116</v>
      </c>
      <c r="D4" s="4">
        <v>878.02359999999999</v>
      </c>
      <c r="E4" s="4" t="s">
        <v>128</v>
      </c>
      <c r="F4" s="5">
        <v>2.7</v>
      </c>
      <c r="G4" s="5"/>
    </row>
    <row r="5" spans="1:7" ht="20.25" x14ac:dyDescent="0.3">
      <c r="A5" s="6" t="s">
        <v>2</v>
      </c>
      <c r="B5" s="7" t="s">
        <v>44</v>
      </c>
      <c r="C5" s="7" t="s">
        <v>111</v>
      </c>
      <c r="D5" s="7">
        <v>95.8</v>
      </c>
      <c r="E5" s="7" t="s">
        <v>129</v>
      </c>
      <c r="F5" s="8"/>
      <c r="G5" s="8"/>
    </row>
    <row r="6" spans="1:7" ht="20.25" x14ac:dyDescent="0.3">
      <c r="A6" s="9"/>
      <c r="B6" s="7"/>
      <c r="C6" s="7"/>
      <c r="D6" s="7"/>
      <c r="E6" s="7"/>
      <c r="F6" s="8"/>
      <c r="G6" s="8"/>
    </row>
    <row r="7" spans="1:7" ht="40.5" x14ac:dyDescent="0.3">
      <c r="A7" s="33" t="s">
        <v>107</v>
      </c>
      <c r="B7" s="8">
        <f>39063600/69.2/1000</f>
        <v>564.50289017341038</v>
      </c>
      <c r="C7" s="8" t="s">
        <v>117</v>
      </c>
      <c r="D7" s="8">
        <f>D4/1800.9*1000</f>
        <v>487.54711533122327</v>
      </c>
      <c r="E7" s="8" t="s">
        <v>130</v>
      </c>
      <c r="F7" s="8"/>
      <c r="G7" s="8"/>
    </row>
    <row r="8" spans="1:7" ht="20.25" x14ac:dyDescent="0.3">
      <c r="A8" s="9"/>
      <c r="B8" s="7"/>
      <c r="C8" s="7"/>
      <c r="D8" s="7"/>
      <c r="E8" s="7"/>
      <c r="F8" s="8"/>
      <c r="G8" s="8"/>
    </row>
    <row r="9" spans="1:7" ht="40.5" x14ac:dyDescent="0.3">
      <c r="A9" s="10" t="s">
        <v>30</v>
      </c>
      <c r="B9" s="7">
        <v>108.8</v>
      </c>
      <c r="C9" s="7">
        <v>105.4</v>
      </c>
      <c r="D9" s="7">
        <v>107.5</v>
      </c>
      <c r="E9" s="7">
        <v>105.4</v>
      </c>
      <c r="F9" s="8"/>
      <c r="G9" s="8"/>
    </row>
    <row r="10" spans="1:7" ht="20.25" x14ac:dyDescent="0.3">
      <c r="A10" s="11" t="s">
        <v>23</v>
      </c>
      <c r="B10" s="7">
        <v>106.1</v>
      </c>
      <c r="C10" s="7">
        <v>106.6</v>
      </c>
      <c r="D10" s="7">
        <v>104.4</v>
      </c>
      <c r="E10" s="7">
        <v>107.1</v>
      </c>
      <c r="F10" s="8"/>
      <c r="G10" s="8"/>
    </row>
    <row r="11" spans="1:7" ht="20.25" x14ac:dyDescent="0.3">
      <c r="A11" s="11" t="s">
        <v>24</v>
      </c>
      <c r="B11" s="7">
        <v>109.7</v>
      </c>
      <c r="C11" s="7">
        <v>102.5</v>
      </c>
      <c r="D11" s="7">
        <v>109.1</v>
      </c>
      <c r="E11" s="7">
        <v>102</v>
      </c>
      <c r="F11" s="8"/>
      <c r="G11" s="8"/>
    </row>
    <row r="12" spans="1:7" ht="20.25" x14ac:dyDescent="0.3">
      <c r="A12" s="11" t="s">
        <v>25</v>
      </c>
      <c r="B12" s="7">
        <v>111.6</v>
      </c>
      <c r="C12" s="7">
        <v>107.3</v>
      </c>
      <c r="D12" s="7">
        <v>109.5</v>
      </c>
      <c r="E12" s="7">
        <v>107.3</v>
      </c>
      <c r="F12" s="8"/>
      <c r="G12" s="8"/>
    </row>
    <row r="13" spans="1:7" ht="20.25" x14ac:dyDescent="0.3">
      <c r="A13" s="12"/>
      <c r="B13" s="7"/>
      <c r="C13" s="7"/>
      <c r="D13" s="7"/>
      <c r="E13" s="7"/>
      <c r="F13" s="8"/>
      <c r="G13" s="8"/>
    </row>
    <row r="14" spans="1:7" ht="38.25" customHeight="1" x14ac:dyDescent="0.3">
      <c r="A14" s="13" t="s">
        <v>31</v>
      </c>
      <c r="B14" s="7">
        <v>21483.9</v>
      </c>
      <c r="C14" s="7"/>
      <c r="D14" s="7">
        <v>859.01610000000005</v>
      </c>
      <c r="E14" s="7">
        <v>654.67290000000003</v>
      </c>
      <c r="F14" s="8">
        <f>D14/B14*100</f>
        <v>3.998417885020876</v>
      </c>
      <c r="G14" s="8"/>
    </row>
    <row r="15" spans="1:7" ht="20.25" x14ac:dyDescent="0.3">
      <c r="A15" s="12"/>
      <c r="B15" s="7"/>
      <c r="C15" s="7"/>
      <c r="D15" s="7"/>
      <c r="E15" s="7"/>
      <c r="F15" s="8"/>
      <c r="G15" s="8"/>
    </row>
    <row r="16" spans="1:7" ht="40.5" x14ac:dyDescent="0.3">
      <c r="A16" s="14" t="s">
        <v>32</v>
      </c>
      <c r="B16" s="7">
        <v>89.2</v>
      </c>
      <c r="C16" s="7">
        <v>109.2</v>
      </c>
      <c r="D16" s="7">
        <v>92.3</v>
      </c>
      <c r="E16" s="7">
        <v>108.2</v>
      </c>
      <c r="F16" s="8"/>
      <c r="G16" s="8"/>
    </row>
    <row r="17" spans="1:13" ht="20.25" x14ac:dyDescent="0.3">
      <c r="A17" s="11" t="s">
        <v>26</v>
      </c>
      <c r="B17" s="7">
        <v>98.8</v>
      </c>
      <c r="C17" s="7">
        <v>104.7</v>
      </c>
      <c r="D17" s="7">
        <v>100.6</v>
      </c>
      <c r="E17" s="7">
        <v>100.1</v>
      </c>
      <c r="F17" s="8"/>
      <c r="G17" s="8"/>
    </row>
    <row r="18" spans="1:13" ht="20.25" x14ac:dyDescent="0.3">
      <c r="A18" s="11" t="s">
        <v>27</v>
      </c>
      <c r="B18" s="7">
        <v>84</v>
      </c>
      <c r="C18" s="7">
        <v>113</v>
      </c>
      <c r="D18" s="7">
        <v>86.8</v>
      </c>
      <c r="E18" s="7">
        <v>115.4</v>
      </c>
      <c r="F18" s="8"/>
      <c r="G18" s="8"/>
    </row>
    <row r="19" spans="1:13" ht="40.5" x14ac:dyDescent="0.3">
      <c r="A19" s="11" t="s">
        <v>28</v>
      </c>
      <c r="B19" s="7">
        <v>95.2</v>
      </c>
      <c r="C19" s="7">
        <v>105.2</v>
      </c>
      <c r="D19" s="7">
        <v>90.5</v>
      </c>
      <c r="E19" s="7">
        <v>108.7</v>
      </c>
      <c r="F19" s="8"/>
      <c r="G19" s="8"/>
    </row>
    <row r="20" spans="1:13" ht="20.25" x14ac:dyDescent="0.3">
      <c r="A20" s="14"/>
      <c r="B20" s="7"/>
      <c r="C20" s="7"/>
      <c r="D20" s="7"/>
      <c r="E20" s="7"/>
      <c r="F20" s="8"/>
      <c r="G20" s="8"/>
    </row>
    <row r="21" spans="1:13" ht="40.5" x14ac:dyDescent="0.3">
      <c r="A21" s="14" t="s">
        <v>34</v>
      </c>
      <c r="B21" s="7"/>
      <c r="C21" s="7"/>
      <c r="D21" s="7"/>
      <c r="E21" s="7"/>
      <c r="F21" s="8"/>
      <c r="G21" s="8"/>
    </row>
    <row r="22" spans="1:13" ht="23.25" x14ac:dyDescent="0.35">
      <c r="A22" s="11" t="s">
        <v>6</v>
      </c>
      <c r="B22" s="7">
        <v>494</v>
      </c>
      <c r="C22" s="7">
        <f>81.2+42.8+41.3+38.7+41.5+42.9+42.5</f>
        <v>330.9</v>
      </c>
      <c r="D22" s="7">
        <v>32.4</v>
      </c>
      <c r="E22" s="7">
        <v>21.6</v>
      </c>
      <c r="F22" s="8">
        <f>D22/B22*100</f>
        <v>6.5587044534412957</v>
      </c>
      <c r="G22" s="8">
        <f>E22/C22*100</f>
        <v>6.5276518585675447</v>
      </c>
      <c r="I22" s="4"/>
      <c r="J22" s="28"/>
    </row>
    <row r="23" spans="1:13" ht="20.25" x14ac:dyDescent="0.3">
      <c r="A23" s="11" t="s">
        <v>7</v>
      </c>
      <c r="B23" s="7">
        <v>35800</v>
      </c>
      <c r="C23" s="7">
        <f>3100+5800+2800+2900+2800+3100+3200</f>
        <v>23700</v>
      </c>
      <c r="D23" s="7">
        <v>618.4</v>
      </c>
      <c r="E23" s="7">
        <v>447.6</v>
      </c>
      <c r="F23" s="8">
        <f t="shared" ref="F23:G31" si="0">D23/B23*100</f>
        <v>1.7273743016759775</v>
      </c>
      <c r="G23" s="8">
        <f t="shared" si="0"/>
        <v>1.8886075949367092</v>
      </c>
      <c r="I23" s="31"/>
    </row>
    <row r="24" spans="1:13" ht="20.25" x14ac:dyDescent="0.3">
      <c r="A24" s="11" t="s">
        <v>8</v>
      </c>
      <c r="B24" s="7">
        <v>971</v>
      </c>
      <c r="C24" s="7">
        <f>101+181.3+97.4+96+92.3+84.1+121</f>
        <v>773.1</v>
      </c>
      <c r="D24" s="7">
        <v>407.3</v>
      </c>
      <c r="E24" s="7">
        <v>334</v>
      </c>
      <c r="F24" s="8">
        <f t="shared" si="0"/>
        <v>41.946446961894956</v>
      </c>
      <c r="G24" s="8">
        <f t="shared" si="0"/>
        <v>43.202690466951232</v>
      </c>
      <c r="I24" s="31"/>
    </row>
    <row r="25" spans="1:13" ht="20.25" x14ac:dyDescent="0.3">
      <c r="A25" s="11" t="s">
        <v>49</v>
      </c>
      <c r="B25" s="7">
        <v>1411</v>
      </c>
      <c r="C25" s="7">
        <f>158+268+137+132+128+113+138</f>
        <v>1074</v>
      </c>
      <c r="D25" s="7">
        <v>731.9</v>
      </c>
      <c r="E25" s="7">
        <v>556.79999999999995</v>
      </c>
      <c r="F25" s="8">
        <f t="shared" si="0"/>
        <v>51.871013465627215</v>
      </c>
      <c r="G25" s="8">
        <f t="shared" si="0"/>
        <v>51.843575418994412</v>
      </c>
      <c r="I25" s="31"/>
      <c r="M25" s="15"/>
    </row>
    <row r="26" spans="1:13" ht="20.25" x14ac:dyDescent="0.3">
      <c r="A26" s="11" t="s">
        <v>40</v>
      </c>
      <c r="B26" s="7">
        <v>27.995000000000001</v>
      </c>
      <c r="C26" s="7">
        <f>7.4+2.818+2.708+3.034+2.8779+3.329</f>
        <v>22.166900000000002</v>
      </c>
      <c r="D26" s="7">
        <v>9.4</v>
      </c>
      <c r="E26" s="7">
        <v>7.1</v>
      </c>
      <c r="F26" s="8">
        <f t="shared" si="0"/>
        <v>33.577424540096445</v>
      </c>
      <c r="G26" s="8">
        <f t="shared" si="0"/>
        <v>32.029738032832732</v>
      </c>
      <c r="I26" s="4"/>
      <c r="M26" s="15"/>
    </row>
    <row r="27" spans="1:13" ht="20.25" x14ac:dyDescent="0.3">
      <c r="A27" s="11" t="s">
        <v>10</v>
      </c>
      <c r="B27" s="7">
        <v>91.4</v>
      </c>
      <c r="C27" s="7">
        <f>11.2+11.9+12.4+10.4+14.9+14.8+11.2</f>
        <v>86.8</v>
      </c>
      <c r="D27" s="7">
        <v>27.9</v>
      </c>
      <c r="E27" s="7">
        <v>24.5</v>
      </c>
      <c r="F27" s="8">
        <f t="shared" si="0"/>
        <v>30.525164113785554</v>
      </c>
      <c r="G27" s="8">
        <f t="shared" si="0"/>
        <v>28.225806451612907</v>
      </c>
      <c r="I27" s="4"/>
      <c r="J27" s="32"/>
      <c r="M27" s="15"/>
    </row>
    <row r="28" spans="1:13" ht="20.25" x14ac:dyDescent="0.3">
      <c r="A28" s="11" t="s">
        <v>11</v>
      </c>
      <c r="B28" s="7">
        <v>597</v>
      </c>
      <c r="C28" s="7">
        <f>85+103.3+93.7+96.5+108+111+98.3</f>
        <v>695.8</v>
      </c>
      <c r="D28" s="7">
        <v>5.4</v>
      </c>
      <c r="E28" s="7">
        <v>4.9000000000000004</v>
      </c>
      <c r="F28" s="8">
        <f t="shared" si="0"/>
        <v>0.90452261306532677</v>
      </c>
      <c r="G28" s="8">
        <f t="shared" si="0"/>
        <v>0.70422535211267612</v>
      </c>
      <c r="I28" s="32"/>
    </row>
    <row r="29" spans="1:13" ht="20.25" x14ac:dyDescent="0.3">
      <c r="A29" s="11" t="s">
        <v>19</v>
      </c>
      <c r="B29" s="7">
        <v>3923</v>
      </c>
      <c r="C29" s="7">
        <f>393+712+363+389+365+393+374</f>
        <v>2989</v>
      </c>
      <c r="D29" s="7">
        <v>56.7</v>
      </c>
      <c r="E29" s="7">
        <v>77.5</v>
      </c>
      <c r="F29" s="8">
        <f t="shared" si="0"/>
        <v>1.4453224573030843</v>
      </c>
      <c r="G29" s="8">
        <f t="shared" si="0"/>
        <v>2.5928404148544666</v>
      </c>
      <c r="I29" s="32"/>
    </row>
    <row r="30" spans="1:13" ht="20.25" x14ac:dyDescent="0.3">
      <c r="A30" s="11" t="s">
        <v>18</v>
      </c>
      <c r="B30" s="7">
        <v>3450</v>
      </c>
      <c r="C30" s="7">
        <f>271+492+250+244+239+249+244</f>
        <v>1989</v>
      </c>
      <c r="D30" s="7">
        <v>153.9</v>
      </c>
      <c r="E30" s="7">
        <v>64.3</v>
      </c>
      <c r="F30" s="8">
        <f t="shared" si="0"/>
        <v>4.4608695652173918</v>
      </c>
      <c r="G30" s="8">
        <f t="shared" si="0"/>
        <v>3.2327802916038206</v>
      </c>
    </row>
    <row r="31" spans="1:13" ht="20.25" x14ac:dyDescent="0.3">
      <c r="A31" s="11" t="s">
        <v>12</v>
      </c>
      <c r="B31" s="7">
        <v>929</v>
      </c>
      <c r="C31" s="7">
        <f>85.6+142.8+89.9+90.1+92+98.2+104</f>
        <v>702.6</v>
      </c>
      <c r="D31" s="7">
        <v>112</v>
      </c>
      <c r="E31" s="7">
        <v>87.9</v>
      </c>
      <c r="F31" s="8">
        <f t="shared" si="0"/>
        <v>12.055974165769644</v>
      </c>
      <c r="G31" s="8">
        <f t="shared" si="0"/>
        <v>12.510674637062341</v>
      </c>
    </row>
    <row r="32" spans="1:13" ht="20.25" x14ac:dyDescent="0.3">
      <c r="A32" s="14"/>
      <c r="B32" s="7"/>
      <c r="C32" s="7"/>
      <c r="D32" s="7"/>
      <c r="E32" s="7"/>
      <c r="F32" s="8"/>
      <c r="G32" s="8"/>
    </row>
    <row r="33" spans="1:7" ht="40.5" x14ac:dyDescent="0.3">
      <c r="A33" s="13" t="s">
        <v>35</v>
      </c>
      <c r="B33" s="7">
        <v>113.9</v>
      </c>
      <c r="C33" s="7">
        <v>109.6</v>
      </c>
      <c r="D33" s="7">
        <v>128.5</v>
      </c>
      <c r="E33" s="7">
        <v>100.9</v>
      </c>
      <c r="F33" s="8"/>
      <c r="G33" s="8"/>
    </row>
    <row r="34" spans="1:7" ht="20.25" x14ac:dyDescent="0.3">
      <c r="A34" s="13"/>
      <c r="B34" s="7"/>
      <c r="C34" s="7"/>
      <c r="D34" s="7"/>
      <c r="E34" s="7"/>
      <c r="F34" s="8"/>
      <c r="G34" s="8"/>
    </row>
    <row r="35" spans="1:7" ht="40.5" x14ac:dyDescent="0.3">
      <c r="A35" s="17" t="s">
        <v>36</v>
      </c>
      <c r="B35" s="7">
        <v>2551.6999999999998</v>
      </c>
      <c r="C35" s="7">
        <v>1257.4000000000001</v>
      </c>
      <c r="D35" s="7">
        <v>119.1283</v>
      </c>
      <c r="E35" s="7">
        <v>69.400000000000006</v>
      </c>
      <c r="F35" s="8">
        <f t="shared" ref="F35:G53" si="1">D35/B35*100</f>
        <v>4.6685856487831643</v>
      </c>
      <c r="G35" s="8">
        <f>E35/C35*100</f>
        <v>5.5193255924924447</v>
      </c>
    </row>
    <row r="36" spans="1:7" ht="20.25" x14ac:dyDescent="0.3">
      <c r="A36" s="6" t="s">
        <v>2</v>
      </c>
      <c r="B36" s="7">
        <v>101.2</v>
      </c>
      <c r="C36" s="7">
        <v>94.3</v>
      </c>
      <c r="D36" s="7">
        <v>100.1</v>
      </c>
      <c r="E36" s="7">
        <v>90.8</v>
      </c>
      <c r="F36" s="8"/>
      <c r="G36" s="8"/>
    </row>
    <row r="37" spans="1:7" ht="20.25" x14ac:dyDescent="0.3">
      <c r="A37" s="6"/>
      <c r="B37" s="7"/>
      <c r="C37" s="7"/>
      <c r="D37" s="7"/>
      <c r="E37" s="7"/>
      <c r="F37" s="8"/>
      <c r="G37" s="8"/>
    </row>
    <row r="38" spans="1:7" ht="40.5" x14ac:dyDescent="0.3">
      <c r="A38" s="17" t="s">
        <v>37</v>
      </c>
      <c r="B38" s="7">
        <v>3869.1</v>
      </c>
      <c r="C38" s="7">
        <v>2308.6999999999998</v>
      </c>
      <c r="D38" s="7">
        <v>184.07130000000001</v>
      </c>
      <c r="E38" s="7">
        <v>87.9131</v>
      </c>
      <c r="F38" s="8">
        <f t="shared" si="1"/>
        <v>4.7574707296270455</v>
      </c>
      <c r="G38" s="8">
        <f t="shared" si="1"/>
        <v>3.8079048815350633</v>
      </c>
    </row>
    <row r="39" spans="1:7" ht="20.25" x14ac:dyDescent="0.3">
      <c r="A39" s="6" t="s">
        <v>2</v>
      </c>
      <c r="B39" s="7">
        <v>84</v>
      </c>
      <c r="C39" s="7">
        <v>98.1</v>
      </c>
      <c r="D39" s="7">
        <v>104.5</v>
      </c>
      <c r="E39" s="7">
        <v>104.9</v>
      </c>
      <c r="F39" s="8"/>
      <c r="G39" s="8"/>
    </row>
    <row r="40" spans="1:7" ht="20.25" x14ac:dyDescent="0.3">
      <c r="A40" s="9"/>
      <c r="B40" s="7"/>
      <c r="C40" s="7"/>
      <c r="D40" s="7"/>
      <c r="E40" s="7"/>
      <c r="F40" s="8"/>
      <c r="G40" s="8"/>
    </row>
    <row r="41" spans="1:7" ht="20.25" x14ac:dyDescent="0.3">
      <c r="A41" s="17" t="s">
        <v>38</v>
      </c>
      <c r="B41" s="7">
        <v>180.1</v>
      </c>
      <c r="C41" s="7">
        <v>125.2</v>
      </c>
      <c r="D41" s="7">
        <v>2.3668</v>
      </c>
      <c r="E41" s="7">
        <v>2.3065000000000002</v>
      </c>
      <c r="F41" s="8">
        <f t="shared" si="1"/>
        <v>1.3141588006662965</v>
      </c>
      <c r="G41" s="8">
        <f t="shared" si="1"/>
        <v>1.8422523961661343</v>
      </c>
    </row>
    <row r="42" spans="1:7" ht="20.25" x14ac:dyDescent="0.3">
      <c r="A42" s="6" t="s">
        <v>2</v>
      </c>
      <c r="B42" s="7">
        <v>83.3</v>
      </c>
      <c r="C42" s="7">
        <v>109.9</v>
      </c>
      <c r="D42" s="7">
        <v>89.8</v>
      </c>
      <c r="E42" s="7">
        <v>104.6</v>
      </c>
      <c r="F42" s="8"/>
      <c r="G42" s="8"/>
    </row>
    <row r="43" spans="1:7" ht="20.25" x14ac:dyDescent="0.3">
      <c r="A43" s="9"/>
      <c r="B43" s="19"/>
      <c r="C43" s="19"/>
      <c r="D43" s="18"/>
      <c r="E43" s="18"/>
      <c r="F43" s="8"/>
      <c r="G43" s="8"/>
    </row>
    <row r="44" spans="1:7" ht="47.25" customHeight="1" x14ac:dyDescent="0.3">
      <c r="A44" s="13" t="s">
        <v>58</v>
      </c>
      <c r="B44" s="7">
        <v>7539.9</v>
      </c>
      <c r="C44" s="7">
        <f>737.9+500.2+521.2+632.2+758.1+680.5+813.7</f>
        <v>4643.8</v>
      </c>
      <c r="D44" s="7">
        <v>267.8</v>
      </c>
      <c r="E44" s="7" t="s">
        <v>118</v>
      </c>
      <c r="F44" s="8">
        <f>D44/7539.9*100</f>
        <v>3.5517712436504465</v>
      </c>
      <c r="G44" s="8"/>
    </row>
    <row r="45" spans="1:7" ht="20.25" x14ac:dyDescent="0.3">
      <c r="A45" s="20" t="s">
        <v>2</v>
      </c>
      <c r="B45" s="7">
        <v>83</v>
      </c>
      <c r="C45" s="7">
        <v>102.8</v>
      </c>
      <c r="D45" s="7">
        <v>93.3</v>
      </c>
      <c r="E45" s="7" t="s">
        <v>119</v>
      </c>
      <c r="F45" s="8"/>
      <c r="G45" s="8"/>
    </row>
    <row r="46" spans="1:7" ht="20.25" x14ac:dyDescent="0.3">
      <c r="A46" s="12"/>
      <c r="B46" s="7"/>
      <c r="C46" s="7"/>
      <c r="D46" s="7"/>
      <c r="E46" s="7"/>
      <c r="F46" s="8"/>
      <c r="G46" s="8"/>
    </row>
    <row r="47" spans="1:7" ht="40.5" x14ac:dyDescent="0.3">
      <c r="A47" s="21" t="s">
        <v>14</v>
      </c>
      <c r="B47" s="7">
        <v>59900</v>
      </c>
      <c r="C47" s="7">
        <v>28500</v>
      </c>
      <c r="D47" s="7">
        <v>2010.2</v>
      </c>
      <c r="E47" s="7">
        <v>1260.5</v>
      </c>
      <c r="F47" s="8">
        <f t="shared" si="1"/>
        <v>3.3559265442404005</v>
      </c>
      <c r="G47" s="8">
        <f>E47/C47*100</f>
        <v>4.4228070175438594</v>
      </c>
    </row>
    <row r="48" spans="1:7" ht="20.25" x14ac:dyDescent="0.3">
      <c r="A48" s="6" t="s">
        <v>3</v>
      </c>
      <c r="B48" s="7">
        <v>93.5</v>
      </c>
      <c r="C48" s="7">
        <v>96</v>
      </c>
      <c r="D48" s="7">
        <v>90.4</v>
      </c>
      <c r="E48" s="7">
        <v>91</v>
      </c>
      <c r="F48" s="8"/>
      <c r="G48" s="8"/>
    </row>
    <row r="49" spans="1:7" ht="20.25" x14ac:dyDescent="0.3">
      <c r="A49" s="9"/>
      <c r="B49" s="7"/>
      <c r="C49" s="7"/>
      <c r="D49" s="7"/>
      <c r="E49" s="7"/>
      <c r="F49" s="8"/>
      <c r="G49" s="8"/>
    </row>
    <row r="50" spans="1:7" ht="40.5" x14ac:dyDescent="0.3">
      <c r="A50" s="13" t="s">
        <v>15</v>
      </c>
      <c r="B50" s="7">
        <v>14602.5</v>
      </c>
      <c r="C50" s="7">
        <v>10334.4</v>
      </c>
      <c r="D50" s="7">
        <v>393.90359999999998</v>
      </c>
      <c r="E50" s="7">
        <v>284.66879999999998</v>
      </c>
      <c r="F50" s="8">
        <f t="shared" si="1"/>
        <v>2.6975079609655879</v>
      </c>
      <c r="G50" s="8">
        <f>E50/C50*100</f>
        <v>2.7545750116117045</v>
      </c>
    </row>
    <row r="51" spans="1:7" ht="20.25" x14ac:dyDescent="0.3">
      <c r="A51" s="6" t="s">
        <v>2</v>
      </c>
      <c r="B51" s="7">
        <v>95.1</v>
      </c>
      <c r="C51" s="7">
        <v>104.3</v>
      </c>
      <c r="D51" s="7">
        <v>97.9</v>
      </c>
      <c r="E51" s="7">
        <v>107</v>
      </c>
      <c r="F51" s="8"/>
      <c r="G51" s="8"/>
    </row>
    <row r="52" spans="1:7" ht="20.25" x14ac:dyDescent="0.3">
      <c r="A52" s="9"/>
      <c r="B52" s="7"/>
      <c r="C52" s="18"/>
      <c r="D52" s="7"/>
      <c r="E52" s="7"/>
      <c r="F52" s="8"/>
      <c r="G52" s="8"/>
    </row>
    <row r="53" spans="1:7" ht="40.5" x14ac:dyDescent="0.3">
      <c r="A53" s="13" t="s">
        <v>16</v>
      </c>
      <c r="B53" s="7">
        <v>4413.7</v>
      </c>
      <c r="C53" s="7">
        <f>1515.2+385.7+402.7+411.7+415.4</f>
        <v>3130.7</v>
      </c>
      <c r="D53" s="7">
        <v>128.7988</v>
      </c>
      <c r="E53" s="7">
        <v>97.144900000000007</v>
      </c>
      <c r="F53" s="8">
        <f t="shared" si="1"/>
        <v>2.9181593674241566</v>
      </c>
      <c r="G53" s="8">
        <f t="shared" si="1"/>
        <v>3.1029769700067082</v>
      </c>
    </row>
    <row r="54" spans="1:7" ht="20.25" x14ac:dyDescent="0.3">
      <c r="A54" s="6" t="s">
        <v>2</v>
      </c>
      <c r="B54" s="7">
        <v>95.7</v>
      </c>
      <c r="C54" s="7">
        <v>101.1</v>
      </c>
      <c r="D54" s="7">
        <v>94.8</v>
      </c>
      <c r="E54" s="7">
        <v>103.5</v>
      </c>
      <c r="F54" s="8"/>
      <c r="G54" s="8"/>
    </row>
    <row r="55" spans="1:7" ht="20.25" x14ac:dyDescent="0.3">
      <c r="A55" s="9"/>
      <c r="B55" s="7"/>
      <c r="C55" s="7"/>
      <c r="D55" s="7"/>
      <c r="E55" s="7"/>
      <c r="F55" s="8"/>
      <c r="G55" s="8"/>
    </row>
    <row r="56" spans="1:7" ht="40.5" x14ac:dyDescent="0.3">
      <c r="A56" s="13" t="s">
        <v>5</v>
      </c>
      <c r="B56" s="7">
        <v>96.5</v>
      </c>
      <c r="C56" s="7" t="s">
        <v>120</v>
      </c>
      <c r="D56" s="7">
        <v>92.8</v>
      </c>
      <c r="E56" s="7" t="s">
        <v>123</v>
      </c>
      <c r="F56" s="8"/>
      <c r="G56" s="8"/>
    </row>
    <row r="57" spans="1:7" ht="20.25" x14ac:dyDescent="0.3">
      <c r="A57" s="13"/>
      <c r="B57" s="7"/>
      <c r="C57" s="7"/>
      <c r="D57" s="7"/>
      <c r="E57" s="7"/>
      <c r="F57" s="8"/>
      <c r="G57" s="8"/>
    </row>
    <row r="58" spans="1:7" ht="40.5" x14ac:dyDescent="0.3">
      <c r="A58" s="13" t="s">
        <v>17</v>
      </c>
      <c r="B58" s="7">
        <v>18638</v>
      </c>
      <c r="C58" s="7" t="s">
        <v>121</v>
      </c>
      <c r="D58" s="7">
        <v>15206.9</v>
      </c>
      <c r="E58" s="7" t="s">
        <v>124</v>
      </c>
      <c r="F58" s="8"/>
      <c r="G58" s="8"/>
    </row>
    <row r="59" spans="1:7" ht="20.25" x14ac:dyDescent="0.3">
      <c r="A59" s="6" t="s">
        <v>3</v>
      </c>
      <c r="B59" s="7">
        <v>107.8</v>
      </c>
      <c r="C59" s="7" t="s">
        <v>122</v>
      </c>
      <c r="D59" s="7">
        <v>102</v>
      </c>
      <c r="E59" s="7" t="s">
        <v>125</v>
      </c>
      <c r="F59" s="8"/>
      <c r="G59" s="8"/>
    </row>
    <row r="60" spans="1:7" ht="20.25" x14ac:dyDescent="0.3">
      <c r="A60" s="9"/>
      <c r="B60" s="7"/>
      <c r="C60" s="7"/>
      <c r="D60" s="7"/>
      <c r="E60" s="7"/>
      <c r="F60" s="8"/>
      <c r="G60" s="8"/>
    </row>
    <row r="61" spans="1:7" ht="20.25" x14ac:dyDescent="0.3">
      <c r="A61" s="13" t="s">
        <v>4</v>
      </c>
      <c r="B61" s="7">
        <v>16818</v>
      </c>
      <c r="C61" s="7">
        <v>18460</v>
      </c>
      <c r="D61" s="7">
        <v>15522.7</v>
      </c>
      <c r="E61" s="7">
        <v>16963.599999999999</v>
      </c>
      <c r="F61" s="8"/>
      <c r="G61" s="8"/>
    </row>
    <row r="62" spans="1:7" ht="20.25" x14ac:dyDescent="0.3">
      <c r="A62" s="6" t="s">
        <v>3</v>
      </c>
      <c r="B62" s="7">
        <v>112.6</v>
      </c>
      <c r="C62" s="7">
        <v>111.7</v>
      </c>
      <c r="D62" s="7">
        <v>109.5</v>
      </c>
      <c r="E62" s="7">
        <v>114.9</v>
      </c>
      <c r="F62" s="8"/>
      <c r="G62" s="8"/>
    </row>
    <row r="63" spans="1:7" ht="20.25" x14ac:dyDescent="0.3">
      <c r="A63" s="9"/>
      <c r="B63" s="7"/>
      <c r="C63" s="7"/>
      <c r="D63" s="7"/>
      <c r="E63" s="7"/>
      <c r="F63" s="8"/>
      <c r="G63" s="8"/>
    </row>
    <row r="64" spans="1:7" ht="41.25" thickBot="1" x14ac:dyDescent="0.35">
      <c r="A64" s="22" t="s">
        <v>39</v>
      </c>
      <c r="B64" s="23">
        <v>2.76</v>
      </c>
      <c r="C64" s="23">
        <v>2.23</v>
      </c>
      <c r="D64" s="23">
        <v>2.8</v>
      </c>
      <c r="E64" s="23">
        <v>2.2000000000000002</v>
      </c>
      <c r="F64" s="24"/>
      <c r="G64" s="24"/>
    </row>
    <row r="65" spans="1:1" ht="18.75" thickTop="1" x14ac:dyDescent="0.25">
      <c r="A65" s="25"/>
    </row>
    <row r="66" spans="1:1" ht="18" x14ac:dyDescent="0.25">
      <c r="A66" s="25" t="s">
        <v>42</v>
      </c>
    </row>
    <row r="67" spans="1:1" ht="18" x14ac:dyDescent="0.25">
      <c r="A67" s="25" t="s">
        <v>114</v>
      </c>
    </row>
    <row r="68" spans="1:1" ht="18" x14ac:dyDescent="0.25">
      <c r="A68" s="25" t="s">
        <v>115</v>
      </c>
    </row>
    <row r="74" spans="1:1" ht="15.75" x14ac:dyDescent="0.3">
      <c r="A74" s="26"/>
    </row>
    <row r="76" spans="1:1" x14ac:dyDescent="0.25">
      <c r="A76" s="27"/>
    </row>
  </sheetData>
  <mergeCells count="5">
    <mergeCell ref="A1:G1"/>
    <mergeCell ref="A2:A3"/>
    <mergeCell ref="B2:C2"/>
    <mergeCell ref="D2:E2"/>
    <mergeCell ref="F2:G2"/>
  </mergeCells>
  <pageMargins left="0.70866141732283472" right="0.70866141732283472" top="0.74803149606299213" bottom="0.74803149606299213" header="0.31496062992125984" footer="0.31496062992125984"/>
  <pageSetup paperSize="9" scale="50" fitToHeight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opLeftCell="A20" zoomScale="60" zoomScaleNormal="60" workbookViewId="0">
      <selection activeCell="C44" sqref="C44"/>
    </sheetView>
  </sheetViews>
  <sheetFormatPr defaultColWidth="13.140625" defaultRowHeight="15" x14ac:dyDescent="0.25"/>
  <cols>
    <col min="1" max="1" width="100.28515625" style="1" customWidth="1"/>
    <col min="2" max="2" width="23.7109375" style="1" customWidth="1"/>
    <col min="3" max="3" width="33.7109375" style="1" customWidth="1"/>
    <col min="4" max="4" width="24.42578125" style="1" customWidth="1"/>
    <col min="5" max="5" width="33.7109375" style="1" customWidth="1"/>
    <col min="6" max="6" width="23.28515625" style="1" customWidth="1"/>
    <col min="7" max="7" width="35.5703125" style="1" customWidth="1"/>
    <col min="8" max="16384" width="13.140625" style="1"/>
  </cols>
  <sheetData>
    <row r="1" spans="1:7" ht="27" thickBot="1" x14ac:dyDescent="0.3">
      <c r="A1" s="36" t="s">
        <v>21</v>
      </c>
      <c r="B1" s="36"/>
      <c r="C1" s="36"/>
      <c r="D1" s="36"/>
      <c r="E1" s="36"/>
      <c r="F1" s="36"/>
      <c r="G1" s="36"/>
    </row>
    <row r="2" spans="1:7" ht="21" thickTop="1" x14ac:dyDescent="0.25">
      <c r="A2" s="37" t="s">
        <v>0</v>
      </c>
      <c r="B2" s="37" t="s">
        <v>1</v>
      </c>
      <c r="C2" s="37"/>
      <c r="D2" s="37" t="s">
        <v>22</v>
      </c>
      <c r="E2" s="37"/>
      <c r="F2" s="39" t="s">
        <v>29</v>
      </c>
      <c r="G2" s="39"/>
    </row>
    <row r="3" spans="1:7" ht="50.25" customHeight="1" thickBot="1" x14ac:dyDescent="0.3">
      <c r="A3" s="38"/>
      <c r="B3" s="2" t="s">
        <v>33</v>
      </c>
      <c r="C3" s="2" t="s">
        <v>131</v>
      </c>
      <c r="D3" s="2" t="s">
        <v>33</v>
      </c>
      <c r="E3" s="2" t="s">
        <v>131</v>
      </c>
      <c r="F3" s="2" t="s">
        <v>33</v>
      </c>
      <c r="G3" s="2" t="s">
        <v>131</v>
      </c>
    </row>
    <row r="4" spans="1:7" ht="41.25" thickTop="1" x14ac:dyDescent="0.3">
      <c r="A4" s="3" t="s">
        <v>20</v>
      </c>
      <c r="B4" s="4" t="s">
        <v>66</v>
      </c>
      <c r="C4" s="4" t="s">
        <v>116</v>
      </c>
      <c r="D4" s="4">
        <v>878.02359999999999</v>
      </c>
      <c r="E4" s="4" t="s">
        <v>132</v>
      </c>
      <c r="F4" s="5">
        <v>2.7</v>
      </c>
      <c r="G4" s="5"/>
    </row>
    <row r="5" spans="1:7" ht="20.25" x14ac:dyDescent="0.3">
      <c r="A5" s="6" t="s">
        <v>2</v>
      </c>
      <c r="B5" s="7" t="s">
        <v>44</v>
      </c>
      <c r="C5" s="7" t="s">
        <v>111</v>
      </c>
      <c r="D5" s="7">
        <v>95.8</v>
      </c>
      <c r="E5" s="7" t="s">
        <v>133</v>
      </c>
      <c r="F5" s="8"/>
      <c r="G5" s="8"/>
    </row>
    <row r="6" spans="1:7" ht="20.25" x14ac:dyDescent="0.3">
      <c r="A6" s="9"/>
      <c r="B6" s="7"/>
      <c r="C6" s="7"/>
      <c r="D6" s="7"/>
      <c r="E6" s="7"/>
      <c r="F6" s="8"/>
      <c r="G6" s="8"/>
    </row>
    <row r="7" spans="1:7" ht="40.5" hidden="1" x14ac:dyDescent="0.3">
      <c r="A7" s="33" t="s">
        <v>107</v>
      </c>
      <c r="B7" s="8">
        <f>39063600/69.2/1000</f>
        <v>564.50289017341038</v>
      </c>
      <c r="C7" s="8" t="s">
        <v>117</v>
      </c>
      <c r="D7" s="8">
        <f>D4/1800.9*1000</f>
        <v>487.54711533122327</v>
      </c>
      <c r="E7" s="8" t="s">
        <v>130</v>
      </c>
      <c r="F7" s="8"/>
      <c r="G7" s="8"/>
    </row>
    <row r="8" spans="1:7" ht="20.25" hidden="1" x14ac:dyDescent="0.3">
      <c r="A8" s="9"/>
      <c r="B8" s="7"/>
      <c r="C8" s="7"/>
      <c r="D8" s="7"/>
      <c r="E8" s="7"/>
      <c r="F8" s="8"/>
      <c r="G8" s="8"/>
    </row>
    <row r="9" spans="1:7" ht="40.5" x14ac:dyDescent="0.3">
      <c r="A9" s="10" t="s">
        <v>30</v>
      </c>
      <c r="B9" s="7">
        <v>108.8</v>
      </c>
      <c r="C9" s="7">
        <v>106.2</v>
      </c>
      <c r="D9" s="7">
        <v>107.5</v>
      </c>
      <c r="E9" s="7">
        <v>106.1</v>
      </c>
      <c r="F9" s="8"/>
      <c r="G9" s="8"/>
    </row>
    <row r="10" spans="1:7" ht="20.25" x14ac:dyDescent="0.3">
      <c r="A10" s="11" t="s">
        <v>23</v>
      </c>
      <c r="B10" s="7">
        <v>106.1</v>
      </c>
      <c r="C10" s="7">
        <v>108.4</v>
      </c>
      <c r="D10" s="7">
        <v>104.4</v>
      </c>
      <c r="E10" s="7">
        <v>108.4</v>
      </c>
      <c r="F10" s="8"/>
      <c r="G10" s="8"/>
    </row>
    <row r="11" spans="1:7" ht="20.25" x14ac:dyDescent="0.3">
      <c r="A11" s="11" t="s">
        <v>24</v>
      </c>
      <c r="B11" s="7">
        <v>109.7</v>
      </c>
      <c r="C11" s="7">
        <v>103.1</v>
      </c>
      <c r="D11" s="7">
        <v>109.1</v>
      </c>
      <c r="E11" s="7">
        <v>102.5</v>
      </c>
      <c r="F11" s="8"/>
      <c r="G11" s="8"/>
    </row>
    <row r="12" spans="1:7" ht="20.25" x14ac:dyDescent="0.3">
      <c r="A12" s="11" t="s">
        <v>25</v>
      </c>
      <c r="B12" s="7">
        <v>111.6</v>
      </c>
      <c r="C12" s="7">
        <v>107.4</v>
      </c>
      <c r="D12" s="7">
        <v>109.5</v>
      </c>
      <c r="E12" s="7">
        <v>107.6</v>
      </c>
      <c r="F12" s="8"/>
      <c r="G12" s="8"/>
    </row>
    <row r="13" spans="1:7" ht="20.25" x14ac:dyDescent="0.3">
      <c r="A13" s="12"/>
      <c r="B13" s="7"/>
      <c r="C13" s="7"/>
      <c r="D13" s="7"/>
      <c r="E13" s="7"/>
      <c r="F13" s="8"/>
      <c r="G13" s="8"/>
    </row>
    <row r="14" spans="1:7" ht="44.25" customHeight="1" x14ac:dyDescent="0.3">
      <c r="A14" s="13" t="s">
        <v>31</v>
      </c>
      <c r="B14" s="7">
        <v>21483.9</v>
      </c>
      <c r="C14" s="7">
        <f>12089.6+489.6+1591.5+226.5+510.4+1460.4+203.8+500.4+1466.7+213</f>
        <v>18751.900000000001</v>
      </c>
      <c r="D14" s="7">
        <v>859.01610000000005</v>
      </c>
      <c r="E14" s="7">
        <v>742.2604</v>
      </c>
      <c r="F14" s="8">
        <f>D14/B14*100</f>
        <v>3.998417885020876</v>
      </c>
      <c r="G14" s="8">
        <f>E14/C14*100</f>
        <v>3.9583210234696216</v>
      </c>
    </row>
    <row r="15" spans="1:7" ht="20.25" x14ac:dyDescent="0.3">
      <c r="A15" s="12"/>
      <c r="B15" s="7"/>
      <c r="C15" s="7"/>
      <c r="D15" s="7"/>
      <c r="E15" s="7"/>
      <c r="F15" s="8"/>
      <c r="G15" s="8"/>
    </row>
    <row r="16" spans="1:7" ht="40.5" x14ac:dyDescent="0.3">
      <c r="A16" s="14" t="s">
        <v>32</v>
      </c>
      <c r="B16" s="7">
        <v>89.2</v>
      </c>
      <c r="C16" s="7">
        <v>108.9</v>
      </c>
      <c r="D16" s="7">
        <v>92.3</v>
      </c>
      <c r="E16" s="7">
        <v>108.4</v>
      </c>
      <c r="F16" s="8"/>
      <c r="G16" s="8"/>
    </row>
    <row r="17" spans="1:13" ht="20.25" x14ac:dyDescent="0.3">
      <c r="A17" s="11" t="s">
        <v>26</v>
      </c>
      <c r="B17" s="7">
        <v>98.8</v>
      </c>
      <c r="C17" s="7">
        <v>104.2</v>
      </c>
      <c r="D17" s="7">
        <v>100.6</v>
      </c>
      <c r="E17" s="7">
        <v>100.1</v>
      </c>
      <c r="F17" s="8"/>
      <c r="G17" s="8"/>
    </row>
    <row r="18" spans="1:13" ht="20.25" x14ac:dyDescent="0.3">
      <c r="A18" s="11" t="s">
        <v>27</v>
      </c>
      <c r="B18" s="7">
        <v>84</v>
      </c>
      <c r="C18" s="7">
        <v>112.6</v>
      </c>
      <c r="D18" s="7">
        <v>86.8</v>
      </c>
      <c r="E18" s="7">
        <v>115.5</v>
      </c>
      <c r="F18" s="8"/>
      <c r="G18" s="8"/>
    </row>
    <row r="19" spans="1:13" ht="40.5" x14ac:dyDescent="0.3">
      <c r="A19" s="11" t="s">
        <v>28</v>
      </c>
      <c r="B19" s="7">
        <v>95.2</v>
      </c>
      <c r="C19" s="7">
        <v>105.1</v>
      </c>
      <c r="D19" s="7">
        <v>90.5</v>
      </c>
      <c r="E19" s="7">
        <v>110.4</v>
      </c>
      <c r="F19" s="8"/>
      <c r="G19" s="8"/>
    </row>
    <row r="20" spans="1:13" ht="20.25" x14ac:dyDescent="0.3">
      <c r="A20" s="14"/>
      <c r="B20" s="7"/>
      <c r="C20" s="7"/>
      <c r="D20" s="7"/>
      <c r="E20" s="7"/>
      <c r="F20" s="8"/>
      <c r="G20" s="8"/>
    </row>
    <row r="21" spans="1:13" ht="40.5" x14ac:dyDescent="0.3">
      <c r="A21" s="14" t="s">
        <v>34</v>
      </c>
      <c r="B21" s="7"/>
      <c r="C21" s="7"/>
      <c r="D21" s="7"/>
      <c r="E21" s="7"/>
      <c r="F21" s="8"/>
      <c r="G21" s="8"/>
    </row>
    <row r="22" spans="1:13" ht="23.25" x14ac:dyDescent="0.35">
      <c r="A22" s="11" t="s">
        <v>6</v>
      </c>
      <c r="B22" s="7">
        <v>494</v>
      </c>
      <c r="C22" s="7">
        <f>81.2+42.8+41.3+38.7+41.5+42.9+42.5+41.6</f>
        <v>372.5</v>
      </c>
      <c r="D22" s="7">
        <v>32.4</v>
      </c>
      <c r="E22" s="7">
        <v>24.3</v>
      </c>
      <c r="F22" s="8">
        <f>D22/B22*100</f>
        <v>6.5587044534412957</v>
      </c>
      <c r="G22" s="8">
        <f>E22/C22*100</f>
        <v>6.5234899328859068</v>
      </c>
      <c r="I22" s="4"/>
      <c r="J22" s="28"/>
    </row>
    <row r="23" spans="1:13" ht="20.25" x14ac:dyDescent="0.3">
      <c r="A23" s="11" t="s">
        <v>7</v>
      </c>
      <c r="B23" s="7">
        <v>35800</v>
      </c>
      <c r="C23" s="7">
        <f>3100+5800+2800+2900+2800+3100+3200+3100</f>
        <v>26800</v>
      </c>
      <c r="D23" s="7">
        <v>618.4</v>
      </c>
      <c r="E23" s="7">
        <v>483.9</v>
      </c>
      <c r="F23" s="8">
        <f t="shared" ref="F23:G31" si="0">D23/B23*100</f>
        <v>1.7273743016759775</v>
      </c>
      <c r="G23" s="8">
        <f t="shared" si="0"/>
        <v>1.8055970149253733</v>
      </c>
      <c r="I23" s="31"/>
    </row>
    <row r="24" spans="1:13" ht="20.25" x14ac:dyDescent="0.3">
      <c r="A24" s="11" t="s">
        <v>8</v>
      </c>
      <c r="B24" s="7">
        <v>971</v>
      </c>
      <c r="C24" s="7">
        <f>101+181.3+97.4+96+92.3+84.1+121+130</f>
        <v>903.1</v>
      </c>
      <c r="D24" s="7">
        <v>407.3</v>
      </c>
      <c r="E24" s="7">
        <v>376.9</v>
      </c>
      <c r="F24" s="8">
        <f t="shared" si="0"/>
        <v>41.946446961894956</v>
      </c>
      <c r="G24" s="8">
        <f t="shared" si="0"/>
        <v>41.734027239508357</v>
      </c>
      <c r="I24" s="31"/>
    </row>
    <row r="25" spans="1:13" ht="20.25" x14ac:dyDescent="0.3">
      <c r="A25" s="11" t="s">
        <v>49</v>
      </c>
      <c r="B25" s="7">
        <v>1411</v>
      </c>
      <c r="C25" s="7">
        <f>158+268+137+132+128+113+138+117</f>
        <v>1191</v>
      </c>
      <c r="D25" s="7">
        <v>731.9</v>
      </c>
      <c r="E25" s="7">
        <v>608.5</v>
      </c>
      <c r="F25" s="8">
        <f t="shared" si="0"/>
        <v>51.871013465627215</v>
      </c>
      <c r="G25" s="8">
        <f t="shared" si="0"/>
        <v>51.091519731318222</v>
      </c>
      <c r="I25" s="31"/>
      <c r="M25" s="15"/>
    </row>
    <row r="26" spans="1:13" ht="20.25" x14ac:dyDescent="0.3">
      <c r="A26" s="11" t="s">
        <v>40</v>
      </c>
      <c r="B26" s="7">
        <v>27.995000000000001</v>
      </c>
      <c r="C26" s="7">
        <f>7.4+2.818+2.708+3.034+2.8779+3.329+3.479</f>
        <v>25.645900000000001</v>
      </c>
      <c r="D26" s="7">
        <v>9.4</v>
      </c>
      <c r="E26" s="7">
        <v>8</v>
      </c>
      <c r="F26" s="8">
        <f t="shared" si="0"/>
        <v>33.577424540096445</v>
      </c>
      <c r="G26" s="8">
        <f t="shared" si="0"/>
        <v>31.194070007291614</v>
      </c>
      <c r="I26" s="4"/>
      <c r="M26" s="15"/>
    </row>
    <row r="27" spans="1:13" ht="20.25" x14ac:dyDescent="0.3">
      <c r="A27" s="11" t="s">
        <v>10</v>
      </c>
      <c r="B27" s="7">
        <v>91.4</v>
      </c>
      <c r="C27" s="7">
        <f>11.2+11.9+12.4+10.4+14.9+14.8+11.2+15.8</f>
        <v>102.6</v>
      </c>
      <c r="D27" s="7">
        <v>27.9</v>
      </c>
      <c r="E27" s="7">
        <v>28.4</v>
      </c>
      <c r="F27" s="8">
        <f t="shared" si="0"/>
        <v>30.525164113785554</v>
      </c>
      <c r="G27" s="8">
        <f t="shared" si="0"/>
        <v>27.680311890838205</v>
      </c>
      <c r="I27" s="4"/>
      <c r="J27" s="32"/>
      <c r="M27" s="15"/>
    </row>
    <row r="28" spans="1:13" ht="20.25" x14ac:dyDescent="0.3">
      <c r="A28" s="11" t="s">
        <v>11</v>
      </c>
      <c r="B28" s="7">
        <v>597</v>
      </c>
      <c r="C28" s="7">
        <f>85+103.3+93.7+96.5+108+111+98.3+128</f>
        <v>823.8</v>
      </c>
      <c r="D28" s="7">
        <v>5.4</v>
      </c>
      <c r="E28" s="7">
        <v>6</v>
      </c>
      <c r="F28" s="8">
        <f t="shared" si="0"/>
        <v>0.90452261306532677</v>
      </c>
      <c r="G28" s="8">
        <f t="shared" si="0"/>
        <v>0.7283321194464677</v>
      </c>
      <c r="I28" s="32"/>
    </row>
    <row r="29" spans="1:13" ht="20.25" x14ac:dyDescent="0.3">
      <c r="A29" s="11" t="s">
        <v>19</v>
      </c>
      <c r="B29" s="7">
        <v>3923</v>
      </c>
      <c r="C29" s="7">
        <f>393+712+363+389+365+393+374+377</f>
        <v>3366</v>
      </c>
      <c r="D29" s="7">
        <v>56.7</v>
      </c>
      <c r="E29" s="7">
        <v>86.8</v>
      </c>
      <c r="F29" s="8">
        <f t="shared" si="0"/>
        <v>1.4453224573030843</v>
      </c>
      <c r="G29" s="8">
        <f t="shared" si="0"/>
        <v>2.5787284610814023</v>
      </c>
      <c r="I29" s="32"/>
    </row>
    <row r="30" spans="1:13" ht="20.25" x14ac:dyDescent="0.3">
      <c r="A30" s="11" t="s">
        <v>18</v>
      </c>
      <c r="B30" s="7">
        <v>3450</v>
      </c>
      <c r="C30" s="7">
        <f>271+492+250+244+239+249+244+246</f>
        <v>2235</v>
      </c>
      <c r="D30" s="7">
        <v>153.9</v>
      </c>
      <c r="E30" s="7">
        <v>73.5</v>
      </c>
      <c r="F30" s="8">
        <f t="shared" si="0"/>
        <v>4.4608695652173918</v>
      </c>
      <c r="G30" s="8">
        <f t="shared" si="0"/>
        <v>3.2885906040268456</v>
      </c>
    </row>
    <row r="31" spans="1:13" ht="20.25" x14ac:dyDescent="0.3">
      <c r="A31" s="11" t="s">
        <v>12</v>
      </c>
      <c r="B31" s="7">
        <v>929</v>
      </c>
      <c r="C31" s="7">
        <f>85.6+142.8+89.9+90.1+92+98.2+104+107</f>
        <v>809.6</v>
      </c>
      <c r="D31" s="7">
        <v>112</v>
      </c>
      <c r="E31" s="7">
        <v>99.2</v>
      </c>
      <c r="F31" s="8">
        <f t="shared" si="0"/>
        <v>12.055974165769644</v>
      </c>
      <c r="G31" s="8">
        <f t="shared" si="0"/>
        <v>12.252964426877471</v>
      </c>
    </row>
    <row r="32" spans="1:13" ht="20.25" x14ac:dyDescent="0.3">
      <c r="A32" s="14"/>
      <c r="B32" s="7"/>
      <c r="C32" s="7"/>
      <c r="D32" s="7"/>
      <c r="E32" s="7"/>
      <c r="F32" s="8"/>
      <c r="G32" s="8"/>
    </row>
    <row r="33" spans="1:7" ht="40.5" x14ac:dyDescent="0.3">
      <c r="A33" s="13" t="s">
        <v>35</v>
      </c>
      <c r="B33" s="7">
        <v>113.9</v>
      </c>
      <c r="C33" s="7">
        <v>108.2</v>
      </c>
      <c r="D33" s="7">
        <v>128.5</v>
      </c>
      <c r="E33" s="7">
        <v>100.8</v>
      </c>
      <c r="F33" s="8"/>
      <c r="G33" s="8"/>
    </row>
    <row r="34" spans="1:7" ht="20.25" x14ac:dyDescent="0.3">
      <c r="A34" s="13"/>
      <c r="B34" s="7"/>
      <c r="C34" s="7"/>
      <c r="D34" s="7"/>
      <c r="E34" s="7"/>
      <c r="F34" s="8"/>
      <c r="G34" s="8"/>
    </row>
    <row r="35" spans="1:7" ht="40.5" x14ac:dyDescent="0.3">
      <c r="A35" s="17" t="s">
        <v>36</v>
      </c>
      <c r="B35" s="7">
        <v>2551.6999999999998</v>
      </c>
      <c r="C35" s="7">
        <v>1705.9</v>
      </c>
      <c r="D35" s="7">
        <v>119.1283</v>
      </c>
      <c r="E35" s="7">
        <v>77.019599999999997</v>
      </c>
      <c r="F35" s="8">
        <f t="shared" ref="F35:G53" si="1">D35/B35*100</f>
        <v>4.6685856487831643</v>
      </c>
      <c r="G35" s="8">
        <f>E35/C35*100</f>
        <v>4.5148953631514148</v>
      </c>
    </row>
    <row r="36" spans="1:7" ht="20.25" x14ac:dyDescent="0.3">
      <c r="A36" s="6" t="s">
        <v>2</v>
      </c>
      <c r="B36" s="7">
        <v>101.2</v>
      </c>
      <c r="C36" s="7">
        <v>89.3</v>
      </c>
      <c r="D36" s="7">
        <v>100.1</v>
      </c>
      <c r="E36" s="7">
        <v>80.400000000000006</v>
      </c>
      <c r="F36" s="8"/>
      <c r="G36" s="8"/>
    </row>
    <row r="37" spans="1:7" ht="20.25" x14ac:dyDescent="0.3">
      <c r="A37" s="6"/>
      <c r="B37" s="7"/>
      <c r="C37" s="7"/>
      <c r="D37" s="7"/>
      <c r="E37" s="7"/>
      <c r="F37" s="8"/>
      <c r="G37" s="8"/>
    </row>
    <row r="38" spans="1:7" ht="40.5" x14ac:dyDescent="0.3">
      <c r="A38" s="17" t="s">
        <v>37</v>
      </c>
      <c r="B38" s="7">
        <v>3869.1</v>
      </c>
      <c r="C38" s="7">
        <v>2726.1</v>
      </c>
      <c r="D38" s="7">
        <v>184.07130000000001</v>
      </c>
      <c r="E38" s="7">
        <v>105.03489999999999</v>
      </c>
      <c r="F38" s="8">
        <f t="shared" si="1"/>
        <v>4.7574707296270455</v>
      </c>
      <c r="G38" s="8">
        <f t="shared" si="1"/>
        <v>3.8529364293312787</v>
      </c>
    </row>
    <row r="39" spans="1:7" ht="20.25" x14ac:dyDescent="0.3">
      <c r="A39" s="6" t="s">
        <v>2</v>
      </c>
      <c r="B39" s="7">
        <v>84</v>
      </c>
      <c r="C39" s="7">
        <v>99.2</v>
      </c>
      <c r="D39" s="7">
        <v>104.5</v>
      </c>
      <c r="E39" s="7">
        <v>107.1</v>
      </c>
      <c r="F39" s="8"/>
      <c r="G39" s="8"/>
    </row>
    <row r="40" spans="1:7" ht="20.25" x14ac:dyDescent="0.3">
      <c r="A40" s="9"/>
      <c r="B40" s="7"/>
      <c r="C40" s="7"/>
      <c r="D40" s="7"/>
      <c r="E40" s="7"/>
      <c r="F40" s="8"/>
      <c r="G40" s="8"/>
    </row>
    <row r="41" spans="1:7" ht="20.25" x14ac:dyDescent="0.3">
      <c r="A41" s="17" t="s">
        <v>38</v>
      </c>
      <c r="B41" s="7">
        <v>180.1</v>
      </c>
      <c r="C41" s="7">
        <v>143.5</v>
      </c>
      <c r="D41" s="7">
        <v>2.3668</v>
      </c>
      <c r="E41" s="7">
        <v>2.673</v>
      </c>
      <c r="F41" s="8">
        <f t="shared" si="1"/>
        <v>1.3141588006662965</v>
      </c>
      <c r="G41" s="8">
        <f t="shared" si="1"/>
        <v>1.8627177700348434</v>
      </c>
    </row>
    <row r="42" spans="1:7" ht="20.25" x14ac:dyDescent="0.3">
      <c r="A42" s="6" t="s">
        <v>2</v>
      </c>
      <c r="B42" s="7">
        <v>83.3</v>
      </c>
      <c r="C42" s="7">
        <v>110.3</v>
      </c>
      <c r="D42" s="7">
        <v>89.8</v>
      </c>
      <c r="E42" s="7">
        <v>104.5</v>
      </c>
      <c r="F42" s="8"/>
      <c r="G42" s="8"/>
    </row>
    <row r="43" spans="1:7" ht="20.25" x14ac:dyDescent="0.3">
      <c r="A43" s="9"/>
      <c r="B43" s="19"/>
      <c r="C43" s="19"/>
      <c r="D43" s="18"/>
      <c r="E43" s="18"/>
      <c r="F43" s="8"/>
      <c r="G43" s="8"/>
    </row>
    <row r="44" spans="1:7" ht="48" customHeight="1" x14ac:dyDescent="0.3">
      <c r="A44" s="13" t="s">
        <v>58</v>
      </c>
      <c r="B44" s="7">
        <v>7539.9</v>
      </c>
      <c r="C44" s="7">
        <f>737.9+500.2+521.2+632.2+758.1+680.5+813.7+897.9</f>
        <v>5541.7</v>
      </c>
      <c r="D44" s="7">
        <v>267.8</v>
      </c>
      <c r="E44" s="7" t="s">
        <v>118</v>
      </c>
      <c r="F44" s="8">
        <f>D44/7539.9*100</f>
        <v>3.5517712436504465</v>
      </c>
      <c r="G44" s="8"/>
    </row>
    <row r="45" spans="1:7" ht="20.25" x14ac:dyDescent="0.3">
      <c r="A45" s="20" t="s">
        <v>2</v>
      </c>
      <c r="B45" s="7">
        <v>83</v>
      </c>
      <c r="C45" s="7">
        <v>103.8</v>
      </c>
      <c r="D45" s="7">
        <v>93.3</v>
      </c>
      <c r="E45" s="7" t="s">
        <v>119</v>
      </c>
      <c r="F45" s="8"/>
      <c r="G45" s="8"/>
    </row>
    <row r="46" spans="1:7" ht="20.25" x14ac:dyDescent="0.3">
      <c r="A46" s="12"/>
      <c r="B46" s="7"/>
      <c r="C46" s="7"/>
      <c r="D46" s="7"/>
      <c r="E46" s="7"/>
      <c r="F46" s="8"/>
      <c r="G46" s="8"/>
    </row>
    <row r="47" spans="1:7" ht="40.5" x14ac:dyDescent="0.3">
      <c r="A47" s="21" t="s">
        <v>14</v>
      </c>
      <c r="B47" s="7">
        <v>59900</v>
      </c>
      <c r="C47" s="7">
        <v>33000</v>
      </c>
      <c r="D47" s="7">
        <v>2010.2</v>
      </c>
      <c r="E47" s="7">
        <v>1382.6</v>
      </c>
      <c r="F47" s="8">
        <f t="shared" si="1"/>
        <v>3.3559265442404005</v>
      </c>
      <c r="G47" s="8">
        <f>E47/C47*100</f>
        <v>4.1896969696969695</v>
      </c>
    </row>
    <row r="48" spans="1:7" ht="20.25" x14ac:dyDescent="0.3">
      <c r="A48" s="6" t="s">
        <v>3</v>
      </c>
      <c r="B48" s="7">
        <v>93.5</v>
      </c>
      <c r="C48" s="7">
        <v>94.5</v>
      </c>
      <c r="D48" s="7">
        <v>90.4</v>
      </c>
      <c r="E48" s="7">
        <v>89.6</v>
      </c>
      <c r="F48" s="8"/>
      <c r="G48" s="8"/>
    </row>
    <row r="49" spans="1:7" ht="20.25" x14ac:dyDescent="0.3">
      <c r="A49" s="9"/>
      <c r="B49" s="7"/>
      <c r="C49" s="7"/>
      <c r="D49" s="7"/>
      <c r="E49" s="7"/>
      <c r="F49" s="8"/>
      <c r="G49" s="8"/>
    </row>
    <row r="50" spans="1:7" ht="40.5" x14ac:dyDescent="0.3">
      <c r="A50" s="13" t="s">
        <v>15</v>
      </c>
      <c r="B50" s="7">
        <v>14602.5</v>
      </c>
      <c r="C50" s="7">
        <v>11737</v>
      </c>
      <c r="D50" s="7">
        <v>393.90359999999998</v>
      </c>
      <c r="E50" s="7">
        <v>324.21469999999999</v>
      </c>
      <c r="F50" s="8">
        <f t="shared" si="1"/>
        <v>2.6975079609655879</v>
      </c>
      <c r="G50" s="8">
        <f>E50/C50*100</f>
        <v>2.7623302377098069</v>
      </c>
    </row>
    <row r="51" spans="1:7" ht="20.25" x14ac:dyDescent="0.3">
      <c r="A51" s="6" t="s">
        <v>2</v>
      </c>
      <c r="B51" s="7">
        <v>95.1</v>
      </c>
      <c r="C51" s="7">
        <v>104.4</v>
      </c>
      <c r="D51" s="7">
        <v>97.9</v>
      </c>
      <c r="E51" s="7">
        <v>107.7</v>
      </c>
      <c r="F51" s="8"/>
      <c r="G51" s="8"/>
    </row>
    <row r="52" spans="1:7" ht="20.25" x14ac:dyDescent="0.3">
      <c r="A52" s="9"/>
      <c r="B52" s="7"/>
      <c r="C52" s="18"/>
      <c r="D52" s="7"/>
      <c r="E52" s="7"/>
      <c r="F52" s="8"/>
      <c r="G52" s="8"/>
    </row>
    <row r="53" spans="1:7" ht="40.5" x14ac:dyDescent="0.3">
      <c r="A53" s="13" t="s">
        <v>16</v>
      </c>
      <c r="B53" s="7">
        <v>4413.7</v>
      </c>
      <c r="C53" s="7">
        <f>1515.2+385.7+402.7+411.7+415.4+413.2</f>
        <v>3543.8999999999996</v>
      </c>
      <c r="D53" s="7">
        <v>128.7988</v>
      </c>
      <c r="E53" s="7">
        <v>109.99769999999999</v>
      </c>
      <c r="F53" s="8">
        <f t="shared" si="1"/>
        <v>2.9181593674241566</v>
      </c>
      <c r="G53" s="8">
        <f>E53/C53*100</f>
        <v>3.1038601540675526</v>
      </c>
    </row>
    <row r="54" spans="1:7" ht="20.25" x14ac:dyDescent="0.3">
      <c r="A54" s="6" t="s">
        <v>2</v>
      </c>
      <c r="B54" s="7">
        <v>95.7</v>
      </c>
      <c r="C54" s="7">
        <v>101.1</v>
      </c>
      <c r="D54" s="7">
        <v>94.8</v>
      </c>
      <c r="E54" s="7">
        <v>105</v>
      </c>
      <c r="F54" s="8"/>
      <c r="G54" s="8"/>
    </row>
    <row r="55" spans="1:7" ht="20.25" x14ac:dyDescent="0.3">
      <c r="A55" s="9"/>
      <c r="B55" s="7"/>
      <c r="C55" s="7"/>
      <c r="D55" s="7"/>
      <c r="E55" s="7"/>
      <c r="F55" s="8"/>
      <c r="G55" s="8"/>
    </row>
    <row r="56" spans="1:7" ht="40.5" x14ac:dyDescent="0.3">
      <c r="A56" s="13" t="s">
        <v>5</v>
      </c>
      <c r="B56" s="7">
        <v>96.5</v>
      </c>
      <c r="C56" s="7">
        <v>105</v>
      </c>
      <c r="D56" s="7">
        <v>92.8</v>
      </c>
      <c r="E56" s="7">
        <v>108</v>
      </c>
      <c r="F56" s="8"/>
      <c r="G56" s="8"/>
    </row>
    <row r="57" spans="1:7" ht="20.25" x14ac:dyDescent="0.3">
      <c r="A57" s="13"/>
      <c r="B57" s="7"/>
      <c r="C57" s="7"/>
      <c r="D57" s="7"/>
      <c r="E57" s="7"/>
      <c r="F57" s="8"/>
      <c r="G57" s="8"/>
    </row>
    <row r="58" spans="1:7" ht="40.5" x14ac:dyDescent="0.3">
      <c r="A58" s="13" t="s">
        <v>17</v>
      </c>
      <c r="B58" s="7">
        <v>18638</v>
      </c>
      <c r="C58" s="7">
        <v>20479</v>
      </c>
      <c r="D58" s="7">
        <v>15206.9</v>
      </c>
      <c r="E58" s="7">
        <v>16787.3</v>
      </c>
      <c r="F58" s="8"/>
      <c r="G58" s="8"/>
    </row>
    <row r="59" spans="1:7" ht="20.25" x14ac:dyDescent="0.3">
      <c r="A59" s="6" t="s">
        <v>3</v>
      </c>
      <c r="B59" s="7">
        <v>107.8</v>
      </c>
      <c r="C59" s="7">
        <v>111.7</v>
      </c>
      <c r="D59" s="7">
        <v>102</v>
      </c>
      <c r="E59" s="7">
        <v>114.7</v>
      </c>
      <c r="F59" s="8"/>
      <c r="G59" s="8"/>
    </row>
    <row r="60" spans="1:7" ht="20.25" x14ac:dyDescent="0.3">
      <c r="A60" s="9"/>
      <c r="B60" s="7"/>
      <c r="C60" s="7"/>
      <c r="D60" s="7"/>
      <c r="E60" s="7"/>
      <c r="F60" s="8"/>
      <c r="G60" s="8"/>
    </row>
    <row r="61" spans="1:7" ht="20.25" x14ac:dyDescent="0.3">
      <c r="A61" s="13" t="s">
        <v>4</v>
      </c>
      <c r="B61" s="7">
        <v>16818</v>
      </c>
      <c r="C61" s="7">
        <v>18176</v>
      </c>
      <c r="D61" s="7">
        <v>15522.7</v>
      </c>
      <c r="E61" s="7">
        <v>17153.599999999999</v>
      </c>
      <c r="F61" s="8"/>
      <c r="G61" s="8"/>
    </row>
    <row r="62" spans="1:7" ht="20.25" x14ac:dyDescent="0.3">
      <c r="A62" s="6" t="s">
        <v>3</v>
      </c>
      <c r="B62" s="7">
        <v>112.6</v>
      </c>
      <c r="C62" s="7">
        <v>110.9</v>
      </c>
      <c r="D62" s="7">
        <v>109.5</v>
      </c>
      <c r="E62" s="7">
        <v>115.8</v>
      </c>
      <c r="F62" s="8"/>
      <c r="G62" s="8"/>
    </row>
    <row r="63" spans="1:7" ht="20.25" x14ac:dyDescent="0.3">
      <c r="A63" s="9"/>
      <c r="B63" s="7"/>
      <c r="C63" s="7"/>
      <c r="D63" s="7"/>
      <c r="E63" s="7"/>
      <c r="F63" s="8"/>
      <c r="G63" s="8"/>
    </row>
    <row r="64" spans="1:7" ht="41.25" thickBot="1" x14ac:dyDescent="0.35">
      <c r="A64" s="22" t="s">
        <v>39</v>
      </c>
      <c r="B64" s="23">
        <v>2.76</v>
      </c>
      <c r="C64" s="23">
        <v>2.23</v>
      </c>
      <c r="D64" s="23">
        <v>2.8</v>
      </c>
      <c r="E64" s="23">
        <v>2</v>
      </c>
      <c r="F64" s="24"/>
      <c r="G64" s="24"/>
    </row>
    <row r="65" spans="1:1" ht="18.75" thickTop="1" x14ac:dyDescent="0.25">
      <c r="A65" s="25"/>
    </row>
    <row r="66" spans="1:1" ht="18" x14ac:dyDescent="0.25">
      <c r="A66" s="25" t="s">
        <v>42</v>
      </c>
    </row>
    <row r="67" spans="1:1" ht="18" x14ac:dyDescent="0.25">
      <c r="A67" s="25" t="s">
        <v>134</v>
      </c>
    </row>
    <row r="68" spans="1:1" ht="18" x14ac:dyDescent="0.25">
      <c r="A68" s="25" t="s">
        <v>115</v>
      </c>
    </row>
    <row r="74" spans="1:1" ht="15.75" x14ac:dyDescent="0.3">
      <c r="A74" s="26"/>
    </row>
    <row r="76" spans="1:1" x14ac:dyDescent="0.25">
      <c r="A76" s="27"/>
    </row>
  </sheetData>
  <mergeCells count="5">
    <mergeCell ref="A1:G1"/>
    <mergeCell ref="A2:A3"/>
    <mergeCell ref="B2:C2"/>
    <mergeCell ref="D2:E2"/>
    <mergeCell ref="F2:G2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4EB37E2C700864BB28D1898CA234C76" ma:contentTypeVersion="0" ma:contentTypeDescription="Создание документа." ma:contentTypeScope="" ma:versionID="ec9823f93a0dc51dced8abe04356a08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30F6E66-1AF7-430A-90BD-CE30E1BD0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B9F8DB0-5B58-4879-A54C-D3163FD4AA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CEBF84-5636-4A6E-8E03-FD01C0AF5EAC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январь</vt:lpstr>
      <vt:lpstr>январь-февраль</vt:lpstr>
      <vt:lpstr>январь-март</vt:lpstr>
      <vt:lpstr>январь-апрель</vt:lpstr>
      <vt:lpstr>январь-май</vt:lpstr>
      <vt:lpstr>январь-июнь</vt:lpstr>
      <vt:lpstr>январь-июль</vt:lpstr>
      <vt:lpstr>январь-август</vt:lpstr>
      <vt:lpstr>январь-сентябрь</vt:lpstr>
      <vt:lpstr>январь-октябрь</vt:lpstr>
      <vt:lpstr>январь!Заголовки_для_печати</vt:lpstr>
      <vt:lpstr>'январь-август'!Заголовки_для_печати</vt:lpstr>
      <vt:lpstr>'январь-апрель'!Заголовки_для_печати</vt:lpstr>
      <vt:lpstr>'январь-июль'!Заголовки_для_печати</vt:lpstr>
      <vt:lpstr>'январь-июнь'!Заголовки_для_печати</vt:lpstr>
      <vt:lpstr>'январь-март'!Заголовки_для_печати</vt:lpstr>
      <vt:lpstr>'январь-октябрь'!Заголовки_для_печати</vt:lpstr>
      <vt:lpstr>'январь-сентябрь'!Заголовки_для_печати</vt:lpstr>
      <vt:lpstr>'январь-февраль'!Заголовки_для_печати</vt:lpstr>
    </vt:vector>
  </TitlesOfParts>
  <Company>МЭ РТ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Сравнение РТ и РФ по основным макроэкономическим показателям в 2009 году</dc:title>
  <dc:creator>Черноситова</dc:creator>
  <cp:lastModifiedBy>Каюмов</cp:lastModifiedBy>
  <cp:lastPrinted>2010-11-19T12:32:17Z</cp:lastPrinted>
  <dcterms:created xsi:type="dcterms:W3CDTF">2008-03-05T07:42:56Z</dcterms:created>
  <dcterms:modified xsi:type="dcterms:W3CDTF">2010-11-22T09:30:26Z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0x010100B4EB37E2C700864BB28D1898CA234C76</vt:lpwstr>
  </property>
  <property fmtid="{D5CDD505-2E9C-101B-9397-08002B2CF9AE}" pid="3" name="Тематическая рубрика">
    <vt:lpwstr>19</vt:lpwstr>
  </property>
  <property fmtid="{D5CDD505-2E9C-101B-9397-08002B2CF9AE}" pid="4" name="Отдел">
    <vt:lpwstr>5</vt:lpwstr>
  </property>
</Properties>
</file>